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ЛЕШКА\Фінансовий план на 2025 рік\"/>
    </mc:Choice>
  </mc:AlternateContent>
  <xr:revisionPtr revIDLastSave="0" documentId="13_ncr:1_{A2445E7D-ACB4-46C5-A86F-A0C27DC9136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даток 1" sheetId="2" r:id="rId1"/>
  </sheets>
  <calcPr calcId="181029" refMode="R1C1"/>
</workbook>
</file>

<file path=xl/calcChain.xml><?xml version="1.0" encoding="utf-8"?>
<calcChain xmlns="http://schemas.openxmlformats.org/spreadsheetml/2006/main">
  <c r="G191" i="2" l="1"/>
  <c r="H230" i="2" s="1"/>
  <c r="G190" i="2"/>
  <c r="H190" i="2" s="1"/>
  <c r="H189" i="2"/>
  <c r="J189" i="2"/>
  <c r="L200" i="2"/>
  <c r="M200" i="2"/>
  <c r="J270" i="2"/>
  <c r="M270" i="2"/>
  <c r="L270" i="2"/>
  <c r="K270" i="2"/>
  <c r="M271" i="2"/>
  <c r="L271" i="2"/>
  <c r="K271" i="2"/>
  <c r="J271" i="2"/>
  <c r="J275" i="2" s="1"/>
  <c r="L269" i="2"/>
  <c r="J269" i="2"/>
  <c r="K196" i="2"/>
  <c r="L196" i="2"/>
  <c r="M196" i="2"/>
  <c r="J196" i="2"/>
  <c r="J157" i="2"/>
  <c r="M207" i="2" l="1"/>
  <c r="K208" i="2"/>
  <c r="J208" i="2"/>
  <c r="I207" i="2"/>
  <c r="I208" i="2"/>
  <c r="I69" i="2"/>
  <c r="I82" i="2"/>
  <c r="I80" i="2"/>
  <c r="I79" i="2"/>
  <c r="I76" i="2"/>
  <c r="I72" i="2"/>
  <c r="I60" i="2"/>
  <c r="I59" i="2"/>
  <c r="I62" i="2"/>
  <c r="I61" i="2"/>
  <c r="I58" i="2"/>
  <c r="I47" i="2" l="1"/>
  <c r="K31" i="2"/>
  <c r="L31" i="2"/>
  <c r="M31" i="2"/>
  <c r="I32" i="2"/>
  <c r="K30" i="2"/>
  <c r="L30" i="2"/>
  <c r="M30" i="2"/>
  <c r="J30" i="2"/>
  <c r="G272" i="2"/>
  <c r="H272" i="2"/>
  <c r="H199" i="2"/>
  <c r="H274" i="2"/>
  <c r="H275" i="2"/>
  <c r="H273" i="2"/>
  <c r="H277" i="2" s="1"/>
  <c r="G268" i="2"/>
  <c r="H270" i="2"/>
  <c r="H271" i="2"/>
  <c r="H269" i="2"/>
  <c r="H268" i="2" s="1"/>
  <c r="H221" i="2"/>
  <c r="H222" i="2"/>
  <c r="H228" i="2"/>
  <c r="H229" i="2"/>
  <c r="H227" i="2"/>
  <c r="H215" i="2"/>
  <c r="H216" i="2"/>
  <c r="H217" i="2"/>
  <c r="H214" i="2"/>
  <c r="H207" i="2"/>
  <c r="H208" i="2"/>
  <c r="H209" i="2"/>
  <c r="H210" i="2"/>
  <c r="H211" i="2"/>
  <c r="H212" i="2"/>
  <c r="H206" i="2"/>
  <c r="H305" i="2"/>
  <c r="H304" i="2"/>
  <c r="H310" i="2"/>
  <c r="H309" i="2"/>
  <c r="H202" i="2"/>
  <c r="H201" i="2"/>
  <c r="H307" i="2"/>
  <c r="H308" i="2"/>
  <c r="H306" i="2"/>
  <c r="H200" i="2"/>
  <c r="H300" i="2"/>
  <c r="H301" i="2"/>
  <c r="H298" i="2" s="1"/>
  <c r="H302" i="2"/>
  <c r="H299" i="2"/>
  <c r="H196" i="2"/>
  <c r="H203" i="2" s="1"/>
  <c r="H192" i="2"/>
  <c r="H191" i="2"/>
  <c r="H182" i="2"/>
  <c r="G140" i="2"/>
  <c r="G157" i="2"/>
  <c r="G156" i="2" s="1"/>
  <c r="G165" i="2"/>
  <c r="H165" i="2" s="1"/>
  <c r="H157" i="2"/>
  <c r="H158" i="2"/>
  <c r="H159" i="2"/>
  <c r="H160" i="2"/>
  <c r="H161" i="2"/>
  <c r="H162" i="2"/>
  <c r="H164" i="2"/>
  <c r="H166" i="2"/>
  <c r="H167" i="2"/>
  <c r="H168" i="2"/>
  <c r="H169" i="2"/>
  <c r="H170" i="2"/>
  <c r="H171" i="2"/>
  <c r="H172" i="2"/>
  <c r="H173" i="2"/>
  <c r="H174" i="2"/>
  <c r="H175" i="2"/>
  <c r="H176" i="2"/>
  <c r="H148" i="2"/>
  <c r="H149" i="2"/>
  <c r="H150" i="2"/>
  <c r="H147" i="2"/>
  <c r="H145" i="2"/>
  <c r="H102" i="2"/>
  <c r="H53" i="2"/>
  <c r="H121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3" i="2"/>
  <c r="H104" i="2"/>
  <c r="H105" i="2"/>
  <c r="H106" i="2"/>
  <c r="H107" i="2"/>
  <c r="H108" i="2"/>
  <c r="H109" i="2"/>
  <c r="H110" i="2"/>
  <c r="H111" i="2"/>
  <c r="H112" i="2"/>
  <c r="H76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58" i="2"/>
  <c r="H45" i="2"/>
  <c r="H46" i="2"/>
  <c r="H47" i="2"/>
  <c r="H48" i="2"/>
  <c r="H44" i="2"/>
  <c r="H27" i="2"/>
  <c r="H28" i="2"/>
  <c r="H29" i="2"/>
  <c r="H30" i="2"/>
  <c r="H31" i="2"/>
  <c r="H32" i="2"/>
  <c r="H33" i="2"/>
  <c r="H34" i="2"/>
  <c r="H35" i="2"/>
  <c r="H26" i="2"/>
  <c r="G295" i="2"/>
  <c r="G296" i="2"/>
  <c r="J146" i="2"/>
  <c r="K146" i="2"/>
  <c r="L146" i="2"/>
  <c r="M146" i="2"/>
  <c r="I150" i="2"/>
  <c r="I146" i="2" s="1"/>
  <c r="D154" i="2"/>
  <c r="E154" i="2"/>
  <c r="H156" i="2" l="1"/>
  <c r="J49" i="2"/>
  <c r="H146" i="2"/>
  <c r="G163" i="2"/>
  <c r="H163" i="2" s="1"/>
  <c r="G183" i="2"/>
  <c r="H183" i="2" s="1"/>
  <c r="J31" i="2"/>
  <c r="H39" i="2"/>
  <c r="H49" i="2" s="1"/>
  <c r="K279" i="2"/>
  <c r="I271" i="2"/>
  <c r="J277" i="2"/>
  <c r="J278" i="2"/>
  <c r="G177" i="2" l="1"/>
  <c r="H177" i="2" s="1"/>
  <c r="I269" i="2"/>
  <c r="J279" i="2"/>
  <c r="I270" i="2"/>
  <c r="I228" i="2"/>
  <c r="I215" i="2"/>
  <c r="I217" i="2"/>
  <c r="I214" i="2"/>
  <c r="I209" i="2"/>
  <c r="I210" i="2"/>
  <c r="I211" i="2"/>
  <c r="I212" i="2"/>
  <c r="I206" i="2"/>
  <c r="I205" i="2" l="1"/>
  <c r="I311" i="2"/>
  <c r="I312" i="2"/>
  <c r="I310" i="2"/>
  <c r="I309" i="2"/>
  <c r="I307" i="2"/>
  <c r="I306" i="2"/>
  <c r="I305" i="2"/>
  <c r="I304" i="2"/>
  <c r="I300" i="2"/>
  <c r="I301" i="2"/>
  <c r="I302" i="2"/>
  <c r="I299" i="2"/>
  <c r="H223" i="2"/>
  <c r="H220" i="2" s="1"/>
  <c r="H303" i="2"/>
  <c r="H297" i="2" s="1"/>
  <c r="I216" i="2" l="1"/>
  <c r="I182" i="2"/>
  <c r="I298" i="2"/>
  <c r="H219" i="2"/>
  <c r="H232" i="2" s="1"/>
  <c r="H213" i="2"/>
  <c r="H205" i="2"/>
  <c r="H179" i="2"/>
  <c r="H124" i="2"/>
  <c r="H120" i="2"/>
  <c r="H140" i="2" s="1"/>
  <c r="H50" i="2"/>
  <c r="I39" i="2"/>
  <c r="E256" i="2"/>
  <c r="H115" i="2" l="1"/>
  <c r="H129" i="2" s="1"/>
  <c r="I33" i="2"/>
  <c r="I27" i="2"/>
  <c r="K275" i="2"/>
  <c r="L275" i="2"/>
  <c r="M275" i="2"/>
  <c r="M274" i="2"/>
  <c r="K274" i="2"/>
  <c r="L274" i="2"/>
  <c r="J274" i="2"/>
  <c r="K273" i="2"/>
  <c r="M273" i="2"/>
  <c r="I273" i="2"/>
  <c r="J273" i="2"/>
  <c r="L273" i="2"/>
  <c r="G130" i="2" l="1"/>
  <c r="I26" i="2"/>
  <c r="I30" i="2" s="1"/>
  <c r="J183" i="2"/>
  <c r="K201" i="2"/>
  <c r="L201" i="2"/>
  <c r="M201" i="2"/>
  <c r="J201" i="2"/>
  <c r="J222" i="2" s="1"/>
  <c r="I31" i="2" l="1"/>
  <c r="I49" i="2"/>
  <c r="H130" i="2"/>
  <c r="G141" i="2"/>
  <c r="G180" i="2" s="1"/>
  <c r="G137" i="2"/>
  <c r="G184" i="2" l="1"/>
  <c r="H180" i="2"/>
  <c r="H141" i="2"/>
  <c r="H137" i="2"/>
  <c r="H233" i="2"/>
  <c r="G144" i="2"/>
  <c r="G143" i="2" s="1"/>
  <c r="G138" i="2"/>
  <c r="H279" i="2"/>
  <c r="H278" i="2"/>
  <c r="H139" i="2" l="1"/>
  <c r="H138" i="2"/>
  <c r="H144" i="2"/>
  <c r="H143" i="2" s="1"/>
  <c r="H154" i="2" s="1"/>
  <c r="I145" i="2" s="1"/>
  <c r="J145" i="2" s="1"/>
  <c r="H234" i="2"/>
  <c r="H184" i="2"/>
  <c r="G185" i="2"/>
  <c r="K222" i="2"/>
  <c r="L222" i="2" s="1"/>
  <c r="M222" i="2" s="1"/>
  <c r="H185" i="2" l="1"/>
  <c r="H194" i="2"/>
  <c r="H73" i="2"/>
  <c r="E259" i="2"/>
  <c r="E258" i="2"/>
  <c r="E257" i="2"/>
  <c r="I179" i="2" l="1"/>
  <c r="J179" i="2" s="1"/>
  <c r="H231" i="2"/>
  <c r="J77" i="2"/>
  <c r="K77" i="2"/>
  <c r="L77" i="2"/>
  <c r="M77" i="2"/>
  <c r="J50" i="2" l="1"/>
  <c r="I274" i="2" l="1"/>
  <c r="J308" i="2"/>
  <c r="J200" i="2" s="1"/>
  <c r="J168" i="2" l="1"/>
  <c r="I121" i="2"/>
  <c r="I120" i="2" s="1"/>
  <c r="M168" i="2"/>
  <c r="M279" i="2"/>
  <c r="M278" i="2"/>
  <c r="M277" i="2"/>
  <c r="L279" i="2"/>
  <c r="L278" i="2"/>
  <c r="L277" i="2"/>
  <c r="K278" i="2"/>
  <c r="K277" i="2"/>
  <c r="I277" i="2" l="1"/>
  <c r="I278" i="2"/>
  <c r="L168" i="2"/>
  <c r="I275" i="2" l="1"/>
  <c r="I272" i="2" s="1"/>
  <c r="M272" i="2"/>
  <c r="L272" i="2"/>
  <c r="K272" i="2"/>
  <c r="I268" i="2"/>
  <c r="K189" i="2"/>
  <c r="L189" i="2"/>
  <c r="M189" i="2"/>
  <c r="I279" i="2" l="1"/>
  <c r="J272" i="2"/>
  <c r="I189" i="2"/>
  <c r="I77" i="2"/>
  <c r="I50" i="2" s="1"/>
  <c r="I196" i="2" l="1"/>
  <c r="L50" i="2"/>
  <c r="K50" i="2"/>
  <c r="M50" i="2"/>
  <c r="I201" i="2"/>
  <c r="K308" i="2"/>
  <c r="K200" i="2" s="1"/>
  <c r="I200" i="2" s="1"/>
  <c r="I303" i="2"/>
  <c r="J303" i="2"/>
  <c r="J202" i="2" s="1"/>
  <c r="K303" i="2"/>
  <c r="K202" i="2" s="1"/>
  <c r="L303" i="2"/>
  <c r="L202" i="2" s="1"/>
  <c r="M303" i="2"/>
  <c r="M202" i="2" s="1"/>
  <c r="J298" i="2"/>
  <c r="J199" i="2" s="1"/>
  <c r="J164" i="2" s="1"/>
  <c r="K298" i="2"/>
  <c r="K199" i="2" s="1"/>
  <c r="K169" i="2" s="1"/>
  <c r="L298" i="2"/>
  <c r="M298" i="2"/>
  <c r="I294" i="2"/>
  <c r="J294" i="2"/>
  <c r="K294" i="2"/>
  <c r="L294" i="2"/>
  <c r="M294" i="2"/>
  <c r="G294" i="2" l="1"/>
  <c r="K168" i="2"/>
  <c r="I168" i="2" s="1"/>
  <c r="I308" i="2"/>
  <c r="I297" i="2" s="1"/>
  <c r="K164" i="2"/>
  <c r="J297" i="2"/>
  <c r="I222" i="2"/>
  <c r="M297" i="2"/>
  <c r="M199" i="2"/>
  <c r="L297" i="2"/>
  <c r="L199" i="2"/>
  <c r="L169" i="2" s="1"/>
  <c r="H258" i="2"/>
  <c r="H256" i="2"/>
  <c r="K297" i="2"/>
  <c r="D259" i="2"/>
  <c r="D258" i="2"/>
  <c r="M164" i="2" l="1"/>
  <c r="M169" i="2"/>
  <c r="J169" i="2"/>
  <c r="I199" i="2"/>
  <c r="L164" i="2"/>
  <c r="I164" i="2" s="1"/>
  <c r="I202" i="2"/>
  <c r="H259" i="2"/>
  <c r="I203" i="2" l="1"/>
  <c r="I169" i="2"/>
  <c r="I167" i="2" s="1"/>
  <c r="M280" i="2"/>
  <c r="L280" i="2"/>
  <c r="K280" i="2"/>
  <c r="J280" i="2"/>
  <c r="I280" i="2"/>
  <c r="M268" i="2"/>
  <c r="L268" i="2"/>
  <c r="K268" i="2"/>
  <c r="J268" i="2"/>
  <c r="M264" i="2"/>
  <c r="M276" i="2" s="1"/>
  <c r="L264" i="2"/>
  <c r="L276" i="2" s="1"/>
  <c r="K264" i="2"/>
  <c r="K276" i="2" s="1"/>
  <c r="J264" i="2"/>
  <c r="J276" i="2" s="1"/>
  <c r="I264" i="2"/>
  <c r="I276" i="2" s="1"/>
  <c r="H264" i="2"/>
  <c r="H276" i="2" s="1"/>
  <c r="M251" i="2"/>
  <c r="L251" i="2"/>
  <c r="K251" i="2"/>
  <c r="J251" i="2"/>
  <c r="I251" i="2"/>
  <c r="H251" i="2"/>
  <c r="E251" i="2"/>
  <c r="M248" i="2"/>
  <c r="L248" i="2"/>
  <c r="K248" i="2"/>
  <c r="J248" i="2"/>
  <c r="I248" i="2"/>
  <c r="H248" i="2"/>
  <c r="E248" i="2"/>
  <c r="M245" i="2"/>
  <c r="L245" i="2"/>
  <c r="K245" i="2"/>
  <c r="J245" i="2"/>
  <c r="I245" i="2"/>
  <c r="H245" i="2"/>
  <c r="E245" i="2"/>
  <c r="M242" i="2"/>
  <c r="L242" i="2"/>
  <c r="K242" i="2"/>
  <c r="J242" i="2"/>
  <c r="I242" i="2"/>
  <c r="H242" i="2"/>
  <c r="E242" i="2"/>
  <c r="M237" i="2"/>
  <c r="L237" i="2"/>
  <c r="K237" i="2"/>
  <c r="J237" i="2"/>
  <c r="I237" i="2"/>
  <c r="H237" i="2"/>
  <c r="E237" i="2"/>
  <c r="I213" i="2"/>
  <c r="M205" i="2"/>
  <c r="L205" i="2"/>
  <c r="K205" i="2"/>
  <c r="J205" i="2"/>
  <c r="M203" i="2"/>
  <c r="L203" i="2"/>
  <c r="K203" i="2"/>
  <c r="J203" i="2"/>
  <c r="J190" i="2" s="1"/>
  <c r="M174" i="2"/>
  <c r="L174" i="2"/>
  <c r="K174" i="2"/>
  <c r="J174" i="2"/>
  <c r="I174" i="2"/>
  <c r="M171" i="2"/>
  <c r="L171" i="2"/>
  <c r="K171" i="2"/>
  <c r="J171" i="2"/>
  <c r="I171" i="2"/>
  <c r="M167" i="2"/>
  <c r="L167" i="2"/>
  <c r="K167" i="2"/>
  <c r="J167" i="2"/>
  <c r="J163" i="2"/>
  <c r="M124" i="2"/>
  <c r="L124" i="2"/>
  <c r="K124" i="2"/>
  <c r="J124" i="2"/>
  <c r="I124" i="2"/>
  <c r="M120" i="2"/>
  <c r="L120" i="2"/>
  <c r="K120" i="2"/>
  <c r="J120" i="2"/>
  <c r="M102" i="2"/>
  <c r="L102" i="2"/>
  <c r="K102" i="2"/>
  <c r="J102" i="2"/>
  <c r="I102" i="2"/>
  <c r="M92" i="2"/>
  <c r="L92" i="2"/>
  <c r="K92" i="2"/>
  <c r="K140" i="2" s="1"/>
  <c r="J92" i="2"/>
  <c r="I92" i="2"/>
  <c r="I140" i="2" s="1"/>
  <c r="M84" i="2"/>
  <c r="L84" i="2"/>
  <c r="K84" i="2"/>
  <c r="J84" i="2"/>
  <c r="I84" i="2"/>
  <c r="M191" i="2" l="1"/>
  <c r="M227" i="2"/>
  <c r="M229" i="2" s="1"/>
  <c r="M182" i="2"/>
  <c r="M216" i="2"/>
  <c r="M213" i="2" s="1"/>
  <c r="M158" i="2"/>
  <c r="J227" i="2"/>
  <c r="J216" i="2"/>
  <c r="J213" i="2" s="1"/>
  <c r="J182" i="2"/>
  <c r="J191" i="2"/>
  <c r="J158" i="2"/>
  <c r="I158" i="2" s="1"/>
  <c r="K227" i="2"/>
  <c r="K229" i="2" s="1"/>
  <c r="K182" i="2"/>
  <c r="K216" i="2"/>
  <c r="K213" i="2" s="1"/>
  <c r="K191" i="2"/>
  <c r="K158" i="2"/>
  <c r="J140" i="2"/>
  <c r="I115" i="2"/>
  <c r="I129" i="2" s="1"/>
  <c r="L191" i="2"/>
  <c r="L182" i="2"/>
  <c r="L227" i="2"/>
  <c r="L229" i="2" s="1"/>
  <c r="L216" i="2"/>
  <c r="L213" i="2" s="1"/>
  <c r="L158" i="2"/>
  <c r="J141" i="2"/>
  <c r="L140" i="2"/>
  <c r="K141" i="2"/>
  <c r="M140" i="2"/>
  <c r="K170" i="2"/>
  <c r="I241" i="2"/>
  <c r="M241" i="2"/>
  <c r="J241" i="2"/>
  <c r="I170" i="2"/>
  <c r="M170" i="2"/>
  <c r="K241" i="2"/>
  <c r="L241" i="2"/>
  <c r="J170" i="2"/>
  <c r="L170" i="2"/>
  <c r="E241" i="2"/>
  <c r="H241" i="2"/>
  <c r="J115" i="2"/>
  <c r="J129" i="2" s="1"/>
  <c r="L49" i="2"/>
  <c r="L115" i="2" s="1"/>
  <c r="L129" i="2" s="1"/>
  <c r="K49" i="2"/>
  <c r="K115" i="2" s="1"/>
  <c r="K129" i="2" s="1"/>
  <c r="K137" i="2" s="1"/>
  <c r="M49" i="2"/>
  <c r="M115" i="2" s="1"/>
  <c r="M129" i="2" s="1"/>
  <c r="I191" i="2" l="1"/>
  <c r="J230" i="2"/>
  <c r="K230" i="2" s="1"/>
  <c r="L230" i="2" s="1"/>
  <c r="M230" i="2" s="1"/>
  <c r="J192" i="2"/>
  <c r="J229" i="2"/>
  <c r="J221" i="2"/>
  <c r="I227" i="2"/>
  <c r="I229" i="2" s="1"/>
  <c r="J137" i="2"/>
  <c r="L137" i="2"/>
  <c r="M141" i="2"/>
  <c r="K138" i="2"/>
  <c r="K144" i="2" s="1"/>
  <c r="K139" i="2"/>
  <c r="J185" i="2"/>
  <c r="J180" i="2" s="1"/>
  <c r="J156" i="2"/>
  <c r="J177" i="2" s="1"/>
  <c r="D257" i="2"/>
  <c r="D256" i="2"/>
  <c r="K221" i="2" l="1"/>
  <c r="L221" i="2" s="1"/>
  <c r="J223" i="2"/>
  <c r="J220" i="2" s="1"/>
  <c r="J219" i="2" s="1"/>
  <c r="J232" i="2" s="1"/>
  <c r="J257" i="2"/>
  <c r="M137" i="2"/>
  <c r="M138" i="2" s="1"/>
  <c r="L138" i="2"/>
  <c r="L139" i="2"/>
  <c r="J138" i="2"/>
  <c r="J144" i="2" s="1"/>
  <c r="J139" i="2"/>
  <c r="L141" i="2"/>
  <c r="K179" i="2"/>
  <c r="J184" i="2"/>
  <c r="J194" i="2" s="1"/>
  <c r="J143" i="2" l="1"/>
  <c r="K165" i="2"/>
  <c r="L143" i="2"/>
  <c r="L144" i="2"/>
  <c r="M165" i="2" s="1"/>
  <c r="M144" i="2"/>
  <c r="M143" i="2" s="1"/>
  <c r="M221" i="2"/>
  <c r="I221" i="2" s="1"/>
  <c r="L223" i="2"/>
  <c r="L220" i="2" s="1"/>
  <c r="L219" i="2" s="1"/>
  <c r="K143" i="2"/>
  <c r="I144" i="2"/>
  <c r="I143" i="2" s="1"/>
  <c r="L165" i="2"/>
  <c r="L157" i="2" s="1"/>
  <c r="M139" i="2"/>
  <c r="I141" i="2"/>
  <c r="I137" i="2"/>
  <c r="J231" i="2"/>
  <c r="M257" i="2"/>
  <c r="K257" i="2"/>
  <c r="L257" i="2"/>
  <c r="K157" i="2" l="1"/>
  <c r="I165" i="2"/>
  <c r="I163" i="2" s="1"/>
  <c r="K183" i="2"/>
  <c r="K163" i="2"/>
  <c r="J154" i="2"/>
  <c r="K145" i="2" s="1"/>
  <c r="K154" i="2" s="1"/>
  <c r="L145" i="2" s="1"/>
  <c r="L154" i="2" s="1"/>
  <c r="M145" i="2" s="1"/>
  <c r="M154" i="2" s="1"/>
  <c r="J233" i="2"/>
  <c r="L156" i="2"/>
  <c r="L190" i="2"/>
  <c r="L192" i="2" s="1"/>
  <c r="M157" i="2"/>
  <c r="M183" i="2"/>
  <c r="M163" i="2"/>
  <c r="L183" i="2"/>
  <c r="L163" i="2"/>
  <c r="I138" i="2"/>
  <c r="I139" i="2"/>
  <c r="I154" i="2"/>
  <c r="H257" i="2"/>
  <c r="I257" i="2"/>
  <c r="K233" i="2" l="1"/>
  <c r="L233" i="2" s="1"/>
  <c r="M233" i="2" s="1"/>
  <c r="J234" i="2"/>
  <c r="L185" i="2"/>
  <c r="L180" i="2" s="1"/>
  <c r="L184" i="2" s="1"/>
  <c r="L177" i="2"/>
  <c r="M190" i="2"/>
  <c r="M156" i="2"/>
  <c r="M177" i="2" s="1"/>
  <c r="K156" i="2"/>
  <c r="K177" i="2" s="1"/>
  <c r="K190" i="2"/>
  <c r="I157" i="2"/>
  <c r="I156" i="2" s="1"/>
  <c r="I183" i="2"/>
  <c r="I177" i="2"/>
  <c r="J259" i="2"/>
  <c r="J258" i="2"/>
  <c r="J256" i="2"/>
  <c r="K185" i="2" l="1"/>
  <c r="K192" i="2"/>
  <c r="M192" i="2"/>
  <c r="M185" i="2"/>
  <c r="K180" i="2" l="1"/>
  <c r="K184" i="2" s="1"/>
  <c r="K194" i="2" s="1"/>
  <c r="K231" i="2" s="1"/>
  <c r="L179" i="2"/>
  <c r="M184" i="2"/>
  <c r="M180" i="2"/>
  <c r="I192" i="2"/>
  <c r="I190" i="2" s="1"/>
  <c r="I185" i="2" s="1"/>
  <c r="I180" i="2" s="1"/>
  <c r="I184" i="2" s="1"/>
  <c r="I194" i="2" s="1"/>
  <c r="L194" i="2" l="1"/>
  <c r="L231" i="2" s="1"/>
  <c r="M179" i="2"/>
  <c r="M194" i="2" s="1"/>
  <c r="M231" i="2" s="1"/>
  <c r="I231" i="2"/>
  <c r="L232" i="2"/>
  <c r="I230" i="2" l="1"/>
  <c r="L234" i="2"/>
  <c r="L256" i="2"/>
  <c r="L258" i="2" l="1"/>
  <c r="L259" i="2"/>
  <c r="M223" i="2"/>
  <c r="M220" i="2" s="1"/>
  <c r="M219" i="2" s="1"/>
  <c r="M232" i="2" s="1"/>
  <c r="I223" i="2"/>
  <c r="I220" i="2" s="1"/>
  <c r="I219" i="2" s="1"/>
  <c r="I232" i="2" s="1"/>
  <c r="K223" i="2"/>
  <c r="K220" i="2" s="1"/>
  <c r="K219" i="2" l="1"/>
  <c r="K232" i="2" s="1"/>
  <c r="I256" i="2"/>
  <c r="M256" i="2"/>
  <c r="K256" i="2" l="1"/>
  <c r="K234" i="2"/>
  <c r="K259" i="2" s="1"/>
  <c r="K258" i="2"/>
  <c r="M234" i="2"/>
  <c r="M258" i="2" s="1"/>
  <c r="I233" i="2"/>
  <c r="I234" i="2" s="1"/>
  <c r="I259" i="2" l="1"/>
  <c r="I258" i="2"/>
  <c r="M25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user</author>
  </authors>
  <commentList>
    <comment ref="J58" authorId="0" shapeId="0" xr:uid="{382E2E8E-92FD-4794-A195-AA4CD490B36A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нет заливки - значит +НДС
</t>
        </r>
      </text>
    </comment>
    <comment ref="E83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переїзд із одного офісу до іншого
</t>
        </r>
      </text>
    </comment>
  </commentList>
</comments>
</file>

<file path=xl/sharedStrings.xml><?xml version="1.0" encoding="utf-8"?>
<sst xmlns="http://schemas.openxmlformats.org/spreadsheetml/2006/main" count="570" uniqueCount="457">
  <si>
    <t>Додаток 1</t>
  </si>
  <si>
    <t xml:space="preserve">до Порядку складання, затвердження </t>
  </si>
  <si>
    <t xml:space="preserve">та контролю виконання фінансових планів </t>
  </si>
  <si>
    <t>комунальних підприємств Бучанської міської ради</t>
  </si>
  <si>
    <t xml:space="preserve">ЗАТВЕРДЖЕНО  </t>
  </si>
  <si>
    <t>Рішенням Виконавчого комітету Бучанської міської ради</t>
  </si>
  <si>
    <t>Підприємство</t>
  </si>
  <si>
    <t>за ЄДРПОУ</t>
  </si>
  <si>
    <t>Територія</t>
  </si>
  <si>
    <t>за КОАТУУ</t>
  </si>
  <si>
    <t>Організаційно-правова форма господарювання</t>
  </si>
  <si>
    <t>за КОПФГ</t>
  </si>
  <si>
    <t>Вид економічної діяльності</t>
  </si>
  <si>
    <t>за КВЕД</t>
  </si>
  <si>
    <t>Орган державного управління</t>
  </si>
  <si>
    <t>Середня кількість працівників</t>
  </si>
  <si>
    <t>Прізвище та ініціали керівника</t>
  </si>
  <si>
    <t>Адреса, телефон</t>
  </si>
  <si>
    <t>ФІНАНСОВИЙ ПЛАН  ПІДПРИЄМСТВА</t>
  </si>
  <si>
    <t>Основні фінансові показники підприємства</t>
  </si>
  <si>
    <t>Код рядка</t>
  </si>
  <si>
    <t>У тому числі по кварталах</t>
  </si>
  <si>
    <t>I. Формування фінансових результатів</t>
  </si>
  <si>
    <t>Дохід (виручка) від реалізації продукції (товарів, робіт, послуг)</t>
  </si>
  <si>
    <t>податок на додану вартість</t>
  </si>
  <si>
    <t>інші непрямі податки</t>
  </si>
  <si>
    <r>
      <t>Інші вирахування з доходу (</t>
    </r>
    <r>
      <rPr>
        <i/>
        <sz val="12"/>
        <color theme="1"/>
        <rFont val="Times New Roman"/>
        <family val="1"/>
        <charset val="204"/>
      </rPr>
      <t>розшифрування)</t>
    </r>
  </si>
  <si>
    <r>
      <t xml:space="preserve">Чистий дохід (виручка) від реалізації продукції (товарів, робіт, послуг) </t>
    </r>
    <r>
      <rPr>
        <b/>
        <i/>
        <sz val="12"/>
        <color theme="1"/>
        <rFont val="Times New Roman"/>
        <family val="1"/>
        <charset val="204"/>
      </rPr>
      <t>(розшифрування за найменуваннями видів діяльості за КВЕД)</t>
    </r>
  </si>
  <si>
    <t>5/1</t>
  </si>
  <si>
    <t>5/2</t>
  </si>
  <si>
    <t>5/3</t>
  </si>
  <si>
    <t>5/4</t>
  </si>
  <si>
    <t>5/5</t>
  </si>
  <si>
    <t>Собівартість реалізованої продукції (товарів, робіт та послуг), у тому числі:</t>
  </si>
  <si>
    <t>витрати на сировину та основні матеріали</t>
  </si>
  <si>
    <t>6/1</t>
  </si>
  <si>
    <t>витрати на паливо</t>
  </si>
  <si>
    <t>6/2</t>
  </si>
  <si>
    <t>витрати на електроенергію</t>
  </si>
  <si>
    <t>6/3</t>
  </si>
  <si>
    <t>комунальні витрати</t>
  </si>
  <si>
    <t>6/4</t>
  </si>
  <si>
    <t>витрати на оплату праці</t>
  </si>
  <si>
    <t>6/5</t>
  </si>
  <si>
    <t>відрахування на соціальні заходи</t>
  </si>
  <si>
    <t>6/6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</si>
  <si>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</si>
  <si>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6/7</t>
  </si>
  <si>
    <t>амортизація основних засобів і нематеріальних активів</t>
  </si>
  <si>
    <t>6/8</t>
  </si>
  <si>
    <t>інші витрати (розшифрувати)</t>
  </si>
  <si>
    <t>6/9</t>
  </si>
  <si>
    <t>Валовий прибуток (збиток)</t>
  </si>
  <si>
    <t>Адміністративні витрати</t>
  </si>
  <si>
    <t>у тому числі:</t>
  </si>
  <si>
    <t>витрати на консалтингові послуги</t>
  </si>
  <si>
    <t>8/1</t>
  </si>
  <si>
    <t>організаційно-технічні послуги (послуги інформатизації)</t>
  </si>
  <si>
    <t>8/2</t>
  </si>
  <si>
    <t>витрати, пов'язані з використанням власних службових автомобілів</t>
  </si>
  <si>
    <t>8/3</t>
  </si>
  <si>
    <t>витрати на оренду службових автомобілів</t>
  </si>
  <si>
    <t>8/4</t>
  </si>
  <si>
    <t>витрати на аудиторські послуги</t>
  </si>
  <si>
    <t>8/5</t>
  </si>
  <si>
    <t>витрати на службові відрядження</t>
  </si>
  <si>
    <t>8/6</t>
  </si>
  <si>
    <t>витрати на зв’язок</t>
  </si>
  <si>
    <t>8/7</t>
  </si>
  <si>
    <t>8/8</t>
  </si>
  <si>
    <t>8/9</t>
  </si>
  <si>
    <t>амортизація основних засобів і нематеріальних активів загальногосподарського призначення</t>
  </si>
  <si>
    <t>8/10</t>
  </si>
  <si>
    <t>витрати на операційну оренду основних засобів та роялті, що мають загальногосподарське призначення</t>
  </si>
  <si>
    <t>8/11</t>
  </si>
  <si>
    <t>витрати на страхування майна загальногосподарського призначення</t>
  </si>
  <si>
    <t>8/12</t>
  </si>
  <si>
    <t>витрати на страхування загальногосподарського персоналу</t>
  </si>
  <si>
    <t>8/13</t>
  </si>
  <si>
    <t>юридичні послуги</t>
  </si>
  <si>
    <t>8/14</t>
  </si>
  <si>
    <t>послуги з оцінки майна</t>
  </si>
  <si>
    <t>8/15</t>
  </si>
  <si>
    <t>витрати на охорону праці загальногосподарського персоналу</t>
  </si>
  <si>
    <t>8/16</t>
  </si>
  <si>
    <t xml:space="preserve">витрати на підвищення кваліфікації та перепідготовку кадрів </t>
  </si>
  <si>
    <t>8/17</t>
  </si>
  <si>
    <t>витрати на утримання основних фондів, інших необоротних активів загальногосподарського використання,  у тому числі:</t>
  </si>
  <si>
    <t>8/18</t>
  </si>
  <si>
    <t>витрати на поліпшення основних фондів</t>
  </si>
  <si>
    <t>8/18/1</t>
  </si>
  <si>
    <t>8/19</t>
  </si>
  <si>
    <t>8/20</t>
  </si>
  <si>
    <t>8/21</t>
  </si>
  <si>
    <t>інші адміністративні витрати, у тому числі:</t>
  </si>
  <si>
    <t>8/22</t>
  </si>
  <si>
    <t>судові витрати</t>
  </si>
  <si>
    <t>8/22/1</t>
  </si>
  <si>
    <t>послуги банку</t>
  </si>
  <si>
    <t>8/22/2</t>
  </si>
  <si>
    <t>обслуговування офісної техніки</t>
  </si>
  <si>
    <t>8/22/3</t>
  </si>
  <si>
    <t>періодичні видання</t>
  </si>
  <si>
    <t>8/22/4</t>
  </si>
  <si>
    <t>канцтовари</t>
  </si>
  <si>
    <t>8/22/5</t>
  </si>
  <si>
    <r>
      <t xml:space="preserve">Інші адміністративні витрати </t>
    </r>
    <r>
      <rPr>
        <i/>
        <sz val="12"/>
        <color theme="1"/>
        <rFont val="Times New Roman"/>
        <family val="1"/>
        <charset val="204"/>
      </rPr>
      <t>(розшифрування</t>
    </r>
    <r>
      <rPr>
        <sz val="12"/>
        <color theme="1"/>
        <rFont val="Times New Roman"/>
        <family val="1"/>
        <charset val="204"/>
      </rPr>
      <t>)</t>
    </r>
  </si>
  <si>
    <t>8/22/6</t>
  </si>
  <si>
    <t>Витрати на збут, у тому числі:</t>
  </si>
  <si>
    <t xml:space="preserve">транспортні витрати </t>
  </si>
  <si>
    <t>9/1</t>
  </si>
  <si>
    <t xml:space="preserve">витрати на зберігання та упаковку </t>
  </si>
  <si>
    <t>9/2</t>
  </si>
  <si>
    <t>9/3</t>
  </si>
  <si>
    <t xml:space="preserve">відрахування на соціальні заходи </t>
  </si>
  <si>
    <t>9/4</t>
  </si>
  <si>
    <t xml:space="preserve">амортизація основних засобів і нематеріальних активів </t>
  </si>
  <si>
    <t>9/5</t>
  </si>
  <si>
    <t xml:space="preserve">витрати на рекламу </t>
  </si>
  <si>
    <t>9/6</t>
  </si>
  <si>
    <t>інші витрати на збут (розшифрувати)</t>
  </si>
  <si>
    <t>9/7</t>
  </si>
  <si>
    <t>Інші операційні доходи, в тому числі:</t>
  </si>
  <si>
    <t>дохід від реалізації інших оборотних активів</t>
  </si>
  <si>
    <t>10/1</t>
  </si>
  <si>
    <t>дохід від операційної оренди активів</t>
  </si>
  <si>
    <t>10/2</t>
  </si>
  <si>
    <t>дохід від списання кредиторської заборгованості</t>
  </si>
  <si>
    <t>10/3</t>
  </si>
  <si>
    <t xml:space="preserve">нетипові операційні доходи (розшифрувати) </t>
  </si>
  <si>
    <t>10/4</t>
  </si>
  <si>
    <t>інші доходи від операційної діяльності (Розшифрувати)</t>
  </si>
  <si>
    <t>10/5</t>
  </si>
  <si>
    <t>Дохід з місцевого бюджету за програмою підтримки, у тому числі:</t>
  </si>
  <si>
    <t>11</t>
  </si>
  <si>
    <t xml:space="preserve">назва </t>
  </si>
  <si>
    <t>11/1</t>
  </si>
  <si>
    <t>Дохід з місцевого бюджету за цільовими програмами, у т.ч.:</t>
  </si>
  <si>
    <t>12</t>
  </si>
  <si>
    <t>12/1</t>
  </si>
  <si>
    <t>Інші операційні витрати, у тому числі</t>
  </si>
  <si>
    <t>собівартість реалізованих виробничих запасів</t>
  </si>
  <si>
    <t>13/1</t>
  </si>
  <si>
    <t>сумнівні та безнадійні борги</t>
  </si>
  <si>
    <t>13/2</t>
  </si>
  <si>
    <t>витрати від знецінення запасів</t>
  </si>
  <si>
    <t>13/3</t>
  </si>
  <si>
    <t>нестачі і втрати від псування цінностей</t>
  </si>
  <si>
    <t>13/4</t>
  </si>
  <si>
    <t>визнані штрафи, пені, неустойки</t>
  </si>
  <si>
    <t>13/5</t>
  </si>
  <si>
    <t xml:space="preserve">витрати на благодійну допомогу </t>
  </si>
  <si>
    <t>13/6</t>
  </si>
  <si>
    <t xml:space="preserve">відрахування до недержавних пенсійних фондів </t>
  </si>
  <si>
    <t>13/7</t>
  </si>
  <si>
    <t>нетипові операційні витрати (розшифрувати)</t>
  </si>
  <si>
    <t>13/8</t>
  </si>
  <si>
    <t>інші операційні витрати (розшифрувати)</t>
  </si>
  <si>
    <t>13/9</t>
  </si>
  <si>
    <t>Фінансовий результат від операційної діяльності</t>
  </si>
  <si>
    <t>14</t>
  </si>
  <si>
    <r>
      <t xml:space="preserve">Дохід від участі в капіталі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</si>
  <si>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15</t>
  </si>
  <si>
    <r>
      <t>Втрати від участі в капіталі (</t>
    </r>
    <r>
      <rPr>
        <b/>
        <i/>
        <sz val="12"/>
        <color theme="1"/>
        <rFont val="Times New Roman"/>
        <family val="1"/>
        <charset val="204"/>
      </rPr>
      <t>розшифрування)</t>
    </r>
  </si>
  <si>
    <r>
      <t xml:space="preserve">Інші фінансові доходи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</si>
  <si>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17</t>
  </si>
  <si>
    <r>
      <t xml:space="preserve">Фінансові витрати </t>
    </r>
    <r>
      <rPr>
        <b/>
        <i/>
        <sz val="12"/>
        <color theme="1"/>
        <rFont val="Times New Roman"/>
        <family val="1"/>
        <charset val="204"/>
      </rPr>
      <t>(розшифрування)</t>
    </r>
  </si>
  <si>
    <t>18</t>
  </si>
  <si>
    <t>Інші доходи, у тому числі:</t>
  </si>
  <si>
    <t>19</t>
  </si>
  <si>
    <t>дохід від безоплатно одержаних активів</t>
  </si>
  <si>
    <t>19/1</t>
  </si>
  <si>
    <t>дохід від відновлення корисності активів</t>
  </si>
  <si>
    <t>19/2</t>
  </si>
  <si>
    <t>інші доходи (розшифрувати)</t>
  </si>
  <si>
    <t>19/3</t>
  </si>
  <si>
    <t xml:space="preserve">Інші витрати,  у тому числі: </t>
  </si>
  <si>
    <t>20</t>
  </si>
  <si>
    <t>списання необоротних активів</t>
  </si>
  <si>
    <t>20/1</t>
  </si>
  <si>
    <t>уцінка необоротних активів</t>
  </si>
  <si>
    <t>20/2</t>
  </si>
  <si>
    <t>втрати від зменшення корисності активів</t>
  </si>
  <si>
    <t>20/3</t>
  </si>
  <si>
    <t>20/4</t>
  </si>
  <si>
    <t xml:space="preserve">Фінансовий результат від звичайної діяльності  до оподаткування </t>
  </si>
  <si>
    <t>21</t>
  </si>
  <si>
    <t>Витрати з податку на прибуток від звичайної діяльності</t>
  </si>
  <si>
    <t>22</t>
  </si>
  <si>
    <t xml:space="preserve">Прибуток (збиток) від припиненої діяльності після оподаткування </t>
  </si>
  <si>
    <t>23</t>
  </si>
  <si>
    <t>Прибуток</t>
  </si>
  <si>
    <t>23/1</t>
  </si>
  <si>
    <t>Збиток</t>
  </si>
  <si>
    <t>23/2</t>
  </si>
  <si>
    <t>Надзвичайні доходи</t>
  </si>
  <si>
    <t>24</t>
  </si>
  <si>
    <t>Надзвичайні витрати</t>
  </si>
  <si>
    <t>25</t>
  </si>
  <si>
    <t>Податки з надзвичайного прибутку</t>
  </si>
  <si>
    <t>26</t>
  </si>
  <si>
    <t>Чистий фінансовий результат, у тому числі:</t>
  </si>
  <si>
    <t>27</t>
  </si>
  <si>
    <t xml:space="preserve">прибуток </t>
  </si>
  <si>
    <t>27/1</t>
  </si>
  <si>
    <t>збиток</t>
  </si>
  <si>
    <t>27/2</t>
  </si>
  <si>
    <t xml:space="preserve">Усього доходів </t>
  </si>
  <si>
    <t>Усього витрат</t>
  </si>
  <si>
    <t>ІI. Розподіл чистого прибутку</t>
  </si>
  <si>
    <t xml:space="preserve">Відрахування частини прибутку: </t>
  </si>
  <si>
    <t>яка підлягає зарахуванню до загального фонду міського бюджету</t>
  </si>
  <si>
    <t>30/1</t>
  </si>
  <si>
    <t xml:space="preserve">Залишок нерозподіленого прибутку (непокритого збитку) на початок звітного періоду  </t>
  </si>
  <si>
    <t>Розподіл чистого прибутку, у тому числі</t>
  </si>
  <si>
    <t>на розвиток виробництва</t>
  </si>
  <si>
    <t>32/1</t>
  </si>
  <si>
    <t>фонд матеріального заохочення</t>
  </si>
  <si>
    <t>32/2</t>
  </si>
  <si>
    <t>резервний фонд</t>
  </si>
  <si>
    <t>32/3</t>
  </si>
  <si>
    <t>інші цілі (розшифрувати)</t>
  </si>
  <si>
    <t>32/4</t>
  </si>
  <si>
    <t xml:space="preserve">Залишок нерозподіленого прибутку (непокритого збитку) на кінець звітного періоду </t>
  </si>
  <si>
    <t>III. Сплата податків, зборів та інших обов’язкових платежів</t>
  </si>
  <si>
    <t>Сплата поточних податків та обов'язкових платежів до Державного бюджету України, у тому числі:</t>
  </si>
  <si>
    <t>податок на прибуток</t>
  </si>
  <si>
    <t>34/1</t>
  </si>
  <si>
    <t>ПДВ, що підлягає сплаті до бюджету за підсумками звітного періоду</t>
  </si>
  <si>
    <t>34/2</t>
  </si>
  <si>
    <t>ПДВ, що підлягає відшкодуванню з бюджету за підсумками звітного періоду</t>
  </si>
  <si>
    <t>34/3</t>
  </si>
  <si>
    <t>акцизний збір</t>
  </si>
  <si>
    <t>34/4</t>
  </si>
  <si>
    <t>рентні платежі</t>
  </si>
  <si>
    <t>34/5</t>
  </si>
  <si>
    <t>ресурсні платежі</t>
  </si>
  <si>
    <t>34/6</t>
  </si>
  <si>
    <r>
      <t>Сплата податків та зборів до місцевих бюджетів (податкові платежі), у тому числі: (</t>
    </r>
    <r>
      <rPr>
        <b/>
        <i/>
        <sz val="12"/>
        <color theme="1"/>
        <rFont val="Times New Roman"/>
        <family val="1"/>
        <charset val="204"/>
      </rPr>
      <t>розшифрувати</t>
    </r>
    <r>
      <rPr>
        <b/>
        <sz val="12"/>
        <color theme="1"/>
        <rFont val="Times New Roman"/>
        <family val="1"/>
        <charset val="204"/>
      </rPr>
      <t>)</t>
    </r>
  </si>
  <si>
    <t>35/1</t>
  </si>
  <si>
    <t>35/2</t>
  </si>
  <si>
    <t>35/3</t>
  </si>
  <si>
    <t>Інші податки, збори та платежі на користь держави всього, у тому числі:</t>
  </si>
  <si>
    <t>єдиний внесок на загальнообовязкове державне соціальне страхування</t>
  </si>
  <si>
    <t>36/1</t>
  </si>
  <si>
    <t>військовий збір</t>
  </si>
  <si>
    <t>36/2</t>
  </si>
  <si>
    <t xml:space="preserve">Погашення податкової заборгованості, у тому числі: </t>
  </si>
  <si>
    <t>погашення реструктуризованих та відстрочених сум, що підлягають сплаті до Державного бюджету України у поточному році:</t>
  </si>
  <si>
    <t>37/1</t>
  </si>
  <si>
    <t>основний платіж</t>
  </si>
  <si>
    <t>37/1/1</t>
  </si>
  <si>
    <t>неустойки (штрафи, пені)</t>
  </si>
  <si>
    <t>37/1/2</t>
  </si>
  <si>
    <t>погашення реструктуризованих та відстрочених сум, що підлягають сплаті до місцевого бюджету у поточному році:</t>
  </si>
  <si>
    <t>37/2</t>
  </si>
  <si>
    <t>37/2/1</t>
  </si>
  <si>
    <t>37/2/2</t>
  </si>
  <si>
    <t>Усього виплат</t>
  </si>
  <si>
    <t>IV. Рух грошових коштів</t>
  </si>
  <si>
    <t>Залишок коштів на початок періоду</t>
  </si>
  <si>
    <t>Чистий рух коштів від операційної діяльності, у тому числі:</t>
  </si>
  <si>
    <t>цільове фінансування</t>
  </si>
  <si>
    <t>40/1</t>
  </si>
  <si>
    <t>Чистий рух коштів від інвестиційної  діяльності</t>
  </si>
  <si>
    <t>Чистий рух коштів від фінансової  діяльності</t>
  </si>
  <si>
    <t>Чистий рух коштів за звітний період</t>
  </si>
  <si>
    <t>Чистий рух коштів за звітний період  (без цільового фінансування), у тому числі:</t>
  </si>
  <si>
    <t>надійшло власних фінансових ресурсів</t>
  </si>
  <si>
    <t>44/1</t>
  </si>
  <si>
    <t>використано фінансових ресурсів, у тому числі на:</t>
  </si>
  <si>
    <t>44/2</t>
  </si>
  <si>
    <t>приріст активів</t>
  </si>
  <si>
    <t>44/2/1</t>
  </si>
  <si>
    <t>погашення зобов’язань</t>
  </si>
  <si>
    <t>44/2/2</t>
  </si>
  <si>
    <t>Вплив зміни валютних курсів на залишок коштів</t>
  </si>
  <si>
    <t>Залишок коштів на кінець року</t>
  </si>
  <si>
    <t>V. Елементи операційних витрат</t>
  </si>
  <si>
    <t>Матеріальні затрати, у тому числі:</t>
  </si>
  <si>
    <t>витрати на сировину й основні матеріали</t>
  </si>
  <si>
    <t>47/1</t>
  </si>
  <si>
    <t>витрати на паливо та енергію</t>
  </si>
  <si>
    <t>47/2</t>
  </si>
  <si>
    <t>Витрати на оплату праці</t>
  </si>
  <si>
    <t>Нарахування на оплату праці</t>
  </si>
  <si>
    <t>Амортизація</t>
  </si>
  <si>
    <t>Інші операційні витрати</t>
  </si>
  <si>
    <t>Операційні витрати, усього</t>
  </si>
  <si>
    <t>VІ. Капітальні інвестиції</t>
  </si>
  <si>
    <t>Капітальні інвестиції, у тому числі</t>
  </si>
  <si>
    <t>капітальне будівництво</t>
  </si>
  <si>
    <t>53/1</t>
  </si>
  <si>
    <t>придбання (виготовлення) основних засобів</t>
  </si>
  <si>
    <t>53/2</t>
  </si>
  <si>
    <t>придбання (виготовлення) інших необоротних матеріальних активів</t>
  </si>
  <si>
    <t>53/3</t>
  </si>
  <si>
    <t>придбання (створення) нематеріальних активів</t>
  </si>
  <si>
    <t>53/4</t>
  </si>
  <si>
    <t>модернізація, модифікація (добудова, дообладнання, реконструкція) основних засобів</t>
  </si>
  <si>
    <t>53/5</t>
  </si>
  <si>
    <t>придбання (створення) оборотних активів</t>
  </si>
  <si>
    <t>53/6</t>
  </si>
  <si>
    <t>капітальний ремонт</t>
  </si>
  <si>
    <t>53/7</t>
  </si>
  <si>
    <t>Джерела капітальних інвестицій, у тому числі:</t>
  </si>
  <si>
    <t>залучені кредитні кошти</t>
  </si>
  <si>
    <t>54/1</t>
  </si>
  <si>
    <t>бюджетне фінансування</t>
  </si>
  <si>
    <t>54/2</t>
  </si>
  <si>
    <t>власні кошти</t>
  </si>
  <si>
    <t>54/3</t>
  </si>
  <si>
    <t>інші джерела</t>
  </si>
  <si>
    <t>54/4</t>
  </si>
  <si>
    <t>VІІ. Звіт про фінансовий стан</t>
  </si>
  <si>
    <t>Необоротні активи, у тому числі:</t>
  </si>
  <si>
    <t>Основні засоби:</t>
  </si>
  <si>
    <t>первісна вартість</t>
  </si>
  <si>
    <t>56/1</t>
  </si>
  <si>
    <t>знос</t>
  </si>
  <si>
    <t>56/2</t>
  </si>
  <si>
    <t>залишкова вартість</t>
  </si>
  <si>
    <t>56/3</t>
  </si>
  <si>
    <t>вартість введених основних засобів</t>
  </si>
  <si>
    <t>56/4</t>
  </si>
  <si>
    <t>вартість виведених основних засобів</t>
  </si>
  <si>
    <t>56/5</t>
  </si>
  <si>
    <t>приріст основних засобів</t>
  </si>
  <si>
    <t>56/6</t>
  </si>
  <si>
    <t>Оборотні активи, у тому числі:</t>
  </si>
  <si>
    <t>Гроші та їх еквіваленти</t>
  </si>
  <si>
    <t>57/1</t>
  </si>
  <si>
    <t>Усього активи</t>
  </si>
  <si>
    <t>Власний капітал</t>
  </si>
  <si>
    <t>Поточні зобовязання і забезпечення</t>
  </si>
  <si>
    <t>Довгострокові зобовязання і забезпечення</t>
  </si>
  <si>
    <t>VІІІ. Кредитна політика</t>
  </si>
  <si>
    <t>Отримано залучених коштів, у тому числі:</t>
  </si>
  <si>
    <t>довгострокові зобов'язання</t>
  </si>
  <si>
    <t>62/1</t>
  </si>
  <si>
    <t>короткострокові зобов'язання</t>
  </si>
  <si>
    <t>62/2</t>
  </si>
  <si>
    <t>інші фінансові зобов'язання</t>
  </si>
  <si>
    <t>62/3</t>
  </si>
  <si>
    <t>Використано залучених коштів, у тому числі:</t>
  </si>
  <si>
    <t>довгострокові зобов'язання, у тому числі:</t>
  </si>
  <si>
    <t>63/1</t>
  </si>
  <si>
    <t>63/1/1</t>
  </si>
  <si>
    <t>63/1/2</t>
  </si>
  <si>
    <t>короткострокові зобов'язання, у тому числі:</t>
  </si>
  <si>
    <t>63/2</t>
  </si>
  <si>
    <t>63/2/1</t>
  </si>
  <si>
    <t>63/2/2</t>
  </si>
  <si>
    <t>інші фінансові зобов'язання, у тому числі:</t>
  </si>
  <si>
    <t>63/3</t>
  </si>
  <si>
    <t>63/3/1</t>
  </si>
  <si>
    <t>63/3/2</t>
  </si>
  <si>
    <t>Повернено залучених коштів, у тому числі:</t>
  </si>
  <si>
    <t>64/1</t>
  </si>
  <si>
    <t>64/2</t>
  </si>
  <si>
    <t>64/3</t>
  </si>
  <si>
    <t>ІХ. Коефіцієнтний аналіз</t>
  </si>
  <si>
    <t>Х. Дані про персонал та витрати на оплату праці</t>
  </si>
  <si>
    <r>
      <rPr>
        <b/>
        <sz val="12"/>
        <color theme="1"/>
        <rFont val="Times New Roman"/>
        <family val="1"/>
        <charset val="204"/>
      </rPr>
      <t>Середня кількість працівників</t>
    </r>
    <r>
      <rPr>
        <sz val="12"/>
        <color theme="1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(штатних працівників, зовнішніх сумісників та працівників, що працюють за цивільно-правовими договорами)</t>
    </r>
    <r>
      <rPr>
        <b/>
        <sz val="12"/>
        <rFont val="Times New Roman"/>
        <family val="1"/>
        <charset val="204"/>
      </rPr>
      <t>, у тому числі:</t>
    </r>
  </si>
  <si>
    <t>директор</t>
  </si>
  <si>
    <t>69/1</t>
  </si>
  <si>
    <t>адміністративно-управлінський персонал</t>
  </si>
  <si>
    <t>69/2</t>
  </si>
  <si>
    <t>працівники</t>
  </si>
  <si>
    <t>69/3</t>
  </si>
  <si>
    <t>Фонд оплати праці,  у тому числі:</t>
  </si>
  <si>
    <t>70/1</t>
  </si>
  <si>
    <t>70/2</t>
  </si>
  <si>
    <t>70/3</t>
  </si>
  <si>
    <t>Витрати на оплату праці,  у тому числі:</t>
  </si>
  <si>
    <t>71/1</t>
  </si>
  <si>
    <t>71/2</t>
  </si>
  <si>
    <t>71/3</t>
  </si>
  <si>
    <t>72/1</t>
  </si>
  <si>
    <t>72/2</t>
  </si>
  <si>
    <t>72/3</t>
  </si>
  <si>
    <t>Заборгованість по заробітній платі,  у тому числі:</t>
  </si>
  <si>
    <t>73/1</t>
  </si>
  <si>
    <t>73/2</t>
  </si>
  <si>
    <t>73/3</t>
  </si>
  <si>
    <t>_____________________</t>
  </si>
  <si>
    <t>(посада)</t>
  </si>
  <si>
    <t>(підпис)</t>
  </si>
  <si>
    <t>(ініціали, прізвище)</t>
  </si>
  <si>
    <t xml:space="preserve">КП "Бучанський СЦД" </t>
  </si>
  <si>
    <t>Київська обл. м. Буча</t>
  </si>
  <si>
    <t>комунальне підприємство</t>
  </si>
  <si>
    <t>організація будівництва будівель</t>
  </si>
  <si>
    <t>Бучанська міська рада</t>
  </si>
  <si>
    <t>Цип'ящук Катерина Олександрівна</t>
  </si>
  <si>
    <t>41.10</t>
  </si>
  <si>
    <t>податок з доходів фізичних осіб</t>
  </si>
  <si>
    <t>частина чистого прибутку до БМР</t>
  </si>
  <si>
    <t>Директор КП "Бучанський СЦД"</t>
  </si>
  <si>
    <t>РОЗШИФРОВКА</t>
  </si>
  <si>
    <t>8/22/6/1</t>
  </si>
  <si>
    <t>Транспортні, вантажно-розвантажувальні та інші послуги, що повязані із перевезенням майна підприємства з одного офісу до іншого</t>
  </si>
  <si>
    <t>13/9/1</t>
  </si>
  <si>
    <t>13/9/2</t>
  </si>
  <si>
    <t>13/9/3</t>
  </si>
  <si>
    <t>13/9/4</t>
  </si>
  <si>
    <t>13/9/5</t>
  </si>
  <si>
    <t>13/9/6</t>
  </si>
  <si>
    <t>Інші операційні витрати, у тому числі:</t>
  </si>
  <si>
    <t>13/9/1/1</t>
  </si>
  <si>
    <t>виплати, що відносяться до фонду оплати праці, у тому числі:</t>
  </si>
  <si>
    <t>13/9/1/2</t>
  </si>
  <si>
    <t>13/9/1/3</t>
  </si>
  <si>
    <t xml:space="preserve"> матеріальна допомога на оздоровлення до відпустки</t>
  </si>
  <si>
    <t xml:space="preserve">одноразове преміювання до 8 березня </t>
  </si>
  <si>
    <t>одноразове преміювання до Дня комунальника</t>
  </si>
  <si>
    <t xml:space="preserve">інші операційні виплати, що не відносяться до фонду оплати праці </t>
  </si>
  <si>
    <t>13/9/2/1</t>
  </si>
  <si>
    <t>13/9/2/2</t>
  </si>
  <si>
    <t>нецільова одноразова матеріальна допомога</t>
  </si>
  <si>
    <t>оплата за кошти підприємства перших 5 днів тимчасової непрацездатності працівників підприємства</t>
  </si>
  <si>
    <t>оплата питної води для офісу</t>
  </si>
  <si>
    <t>нарахування ЄСВ на суми оплати перших 5 днів тимчасової непрацездатності працівників за кошти підприємства</t>
  </si>
  <si>
    <t>нарахування ЄСВ на суми оплати днів тимчасової непрацездатності працівників за кошти ФСС</t>
  </si>
  <si>
    <t>нарахування ЄСВ на суми оплати  матеріальної допомоги на оздоровлення до відпустки та одноразового преміювання</t>
  </si>
  <si>
    <t>Коефіцієнт дохідності активів (чистий фінансовий результат, рядок 27 / вартість активів, рядок 58) х 100, %</t>
  </si>
  <si>
    <t>Коефіцієнт рентабельності діяльності (чистий фінансовий результат, рядок 27/ чистий дохід від реалізації продукції (товарів, робіт, послуг), рядок 5) х 100, %</t>
  </si>
  <si>
    <t>Коефіцієнт фінансової стійкості (власний капітал, рядок 59 / (довгострокові зобов'язання, рядок 61 + поточні зобов'язання, рядок 60))</t>
  </si>
  <si>
    <t>Коефіцієнт покриття/поточної ліквідності (оборотні активи, рядок 57 / поточні зобов'язання, рядок 60)</t>
  </si>
  <si>
    <t>41.00.20 технічна інвентаризація нежитлової нерухомості</t>
  </si>
  <si>
    <t>Середньомісячні витрати на оплату праці одного працівника (тис. грн), у тому числі:</t>
  </si>
  <si>
    <t>41.00.10 технічна інвентаризація житлової нерухомості</t>
  </si>
  <si>
    <t>Найменування показників</t>
  </si>
  <si>
    <t xml:space="preserve">96.09 послуги населенню з видачі архівних довідок </t>
  </si>
  <si>
    <t xml:space="preserve">82.99 послуги юридичним особам з видачі аржівних довідок </t>
  </si>
  <si>
    <t>13/9/7</t>
  </si>
  <si>
    <r>
      <rPr>
        <i/>
        <sz val="14"/>
        <color theme="1"/>
        <rFont val="Times New Roman"/>
        <family val="1"/>
        <charset val="204"/>
      </rPr>
      <t>Довідково</t>
    </r>
    <r>
      <rPr>
        <i/>
        <sz val="12"/>
        <color theme="1"/>
        <rFont val="Times New Roman"/>
        <family val="1"/>
        <charset val="204"/>
      </rPr>
      <t>:суми оплати днів тимчасової непрацездатності працівників за кошти ФСС</t>
    </r>
  </si>
  <si>
    <t>Х</t>
  </si>
  <si>
    <t>8/22/6/2</t>
  </si>
  <si>
    <t>13/9/1/4</t>
  </si>
  <si>
    <t>13/9/8</t>
  </si>
  <si>
    <t>оплата простою на підприємстві спеціалістів</t>
  </si>
  <si>
    <t>нарахування ЄСВ на суми оплати простою на підприємстві спеціалістів</t>
  </si>
  <si>
    <t>Катерина ЦИП'ЯЩУК</t>
  </si>
  <si>
    <r>
      <t>Інші адміністративні витрати</t>
    </r>
    <r>
      <rPr>
        <b/>
        <i/>
        <sz val="14"/>
        <color theme="1"/>
        <rFont val="Times New Roman"/>
        <family val="1"/>
        <charset val="204"/>
      </rPr>
      <t>, у тому числі:</t>
    </r>
  </si>
  <si>
    <t>Витрати по договору ЦПХ за упорядкування наявного на  підприємстві архіву інвентарних справ об’єктів нерухомого майна (по факту за 2022 рік: винагорода - 18000 грн. , відрахування ЄСВ 22% - 3960 грн..)</t>
  </si>
  <si>
    <t>Розподіл чистого прибутку на інші цілі: покриття витрат минулих звітних періодів, а саме зі сплати заборгованості в сумі 14639 грн. 20 коп., яка виникла у період з вересня 2020 року по грудень 2022 року перед ОСББ "ЗОРЯ" , м. Буча за компенсацію видатків на утримання і ремонт приміщень або майна, що перебуває у спільній власності з ОСББ у житловому будинку по бульвару Богдана Хмельницького, 4, в якому знаходиться офісне приміщення № 241, що було передано на баланс підприємства у вересні 2020 року, за рішенням Бучанської міської ради.</t>
  </si>
  <si>
    <t xml:space="preserve"> на 2025 рік</t>
  </si>
  <si>
    <t>План поточного року 2024</t>
  </si>
  <si>
    <t>окремих рядків фінансового плану КП "Бучанський СЦД" на 2025 рік</t>
  </si>
  <si>
    <t>Факт минулого 2023 року</t>
  </si>
  <si>
    <t>Факт за 6 місяців 2024 року</t>
  </si>
  <si>
    <t xml:space="preserve">План на друге півріччя поточного 2024 року </t>
  </si>
  <si>
    <t>Прогнозні показники поточного 2024 року</t>
  </si>
  <si>
    <t>Плановий рік, усього  2025</t>
  </si>
  <si>
    <r>
      <t>08292, Київська обл., м. Буча, вул. Енергетиків, 12,</t>
    </r>
    <r>
      <rPr>
        <sz val="12"/>
        <color theme="1"/>
        <rFont val="Calibri"/>
        <family val="2"/>
        <charset val="204"/>
        <scheme val="minor"/>
      </rPr>
      <t xml:space="preserve"> 050-885-8549</t>
    </r>
  </si>
  <si>
    <t>"___"____________2024 р.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</si>
</sst>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_);_(* \(#,##0\);_(* &quot;-&quot;??_);_(@_)"/>
    <numFmt numFmtId="166" formatCode="0.0"/>
  </numFmts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1" fillId="0" borderId="0" xfId="0" applyFont="1"/>
    <xf numFmtId="1" fontId="2" fillId="0" borderId="1" xfId="0" applyNumberFormat="1" applyFont="1" applyBorder="1" applyAlignment="1">
      <alignment horizontal="right" vertical="top" wrapText="1"/>
    </xf>
    <xf numFmtId="1" fontId="2" fillId="0" borderId="1" xfId="0" applyNumberFormat="1" applyFont="1" applyBorder="1" applyAlignment="1">
      <alignment horizontal="right" vertical="top"/>
    </xf>
    <xf numFmtId="1" fontId="8" fillId="0" borderId="1" xfId="0" applyNumberFormat="1" applyFont="1" applyBorder="1" applyAlignment="1">
      <alignment horizontal="right" vertical="top" wrapText="1"/>
    </xf>
    <xf numFmtId="1" fontId="8" fillId="0" borderId="1" xfId="0" applyNumberFormat="1" applyFont="1" applyBorder="1" applyAlignment="1">
      <alignment horizontal="right" vertical="top"/>
    </xf>
    <xf numFmtId="1" fontId="2" fillId="0" borderId="1" xfId="0" applyNumberFormat="1" applyFont="1" applyBorder="1" applyAlignment="1">
      <alignment vertical="center" wrapText="1"/>
    </xf>
    <xf numFmtId="1" fontId="3" fillId="0" borderId="1" xfId="0" applyNumberFormat="1" applyFont="1" applyBorder="1" applyAlignment="1">
      <alignment horizontal="right" vertical="top" wrapText="1"/>
    </xf>
    <xf numFmtId="1" fontId="10" fillId="0" borderId="1" xfId="0" applyNumberFormat="1" applyFont="1" applyBorder="1" applyAlignment="1">
      <alignment horizontal="right" vertical="top" wrapText="1"/>
    </xf>
    <xf numFmtId="1" fontId="9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right" vertical="center" wrapText="1"/>
    </xf>
    <xf numFmtId="1" fontId="2" fillId="0" borderId="0" xfId="0" applyNumberFormat="1" applyFont="1" applyAlignment="1">
      <alignment horizontal="right" vertical="top" wrapText="1"/>
    </xf>
    <xf numFmtId="1" fontId="2" fillId="0" borderId="0" xfId="0" applyNumberFormat="1" applyFont="1" applyAlignment="1">
      <alignment horizontal="right" vertical="top"/>
    </xf>
    <xf numFmtId="1" fontId="2" fillId="3" borderId="1" xfId="0" applyNumberFormat="1" applyFont="1" applyFill="1" applyBorder="1" applyAlignment="1">
      <alignment horizontal="right" vertical="top" wrapText="1"/>
    </xf>
    <xf numFmtId="1" fontId="2" fillId="4" borderId="1" xfId="0" applyNumberFormat="1" applyFont="1" applyFill="1" applyBorder="1" applyAlignment="1">
      <alignment horizontal="right" vertical="top" wrapText="1"/>
    </xf>
    <xf numFmtId="1" fontId="2" fillId="5" borderId="1" xfId="0" applyNumberFormat="1" applyFont="1" applyFill="1" applyBorder="1" applyAlignment="1">
      <alignment horizontal="right" vertical="top" wrapText="1"/>
    </xf>
    <xf numFmtId="1" fontId="2" fillId="7" borderId="1" xfId="0" applyNumberFormat="1" applyFont="1" applyFill="1" applyBorder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top" wrapText="1"/>
    </xf>
    <xf numFmtId="1" fontId="2" fillId="0" borderId="2" xfId="0" applyNumberFormat="1" applyFont="1" applyBorder="1" applyAlignment="1">
      <alignment horizontal="right" vertical="top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1" fontId="8" fillId="0" borderId="2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right" vertical="center" wrapText="1"/>
    </xf>
    <xf numFmtId="1" fontId="2" fillId="0" borderId="9" xfId="0" applyNumberFormat="1" applyFont="1" applyBorder="1" applyAlignment="1">
      <alignment horizontal="right" vertical="top" wrapText="1"/>
    </xf>
    <xf numFmtId="166" fontId="8" fillId="0" borderId="2" xfId="0" applyNumberFormat="1" applyFont="1" applyBorder="1" applyAlignment="1">
      <alignment horizontal="right" vertical="top"/>
    </xf>
    <xf numFmtId="1" fontId="8" fillId="4" borderId="1" xfId="0" applyNumberFormat="1" applyFont="1" applyFill="1" applyBorder="1" applyAlignment="1">
      <alignment horizontal="right" vertical="top" wrapText="1"/>
    </xf>
    <xf numFmtId="1" fontId="2" fillId="8" borderId="9" xfId="0" applyNumberFormat="1" applyFont="1" applyFill="1" applyBorder="1" applyAlignment="1">
      <alignment horizontal="right" vertical="top" wrapText="1"/>
    </xf>
    <xf numFmtId="1" fontId="2" fillId="9" borderId="1" xfId="0" applyNumberFormat="1" applyFont="1" applyFill="1" applyBorder="1" applyAlignment="1">
      <alignment horizontal="right" vertical="top" wrapText="1"/>
    </xf>
    <xf numFmtId="1" fontId="8" fillId="3" borderId="1" xfId="0" applyNumberFormat="1" applyFont="1" applyFill="1" applyBorder="1" applyAlignment="1">
      <alignment horizontal="right" vertical="top" wrapText="1"/>
    </xf>
    <xf numFmtId="1" fontId="10" fillId="0" borderId="1" xfId="0" applyNumberFormat="1" applyFont="1" applyBorder="1" applyAlignment="1">
      <alignment horizontal="right" vertical="top"/>
    </xf>
    <xf numFmtId="1" fontId="2" fillId="0" borderId="1" xfId="0" applyNumberFormat="1" applyFont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3" borderId="1" xfId="0" applyNumberFormat="1" applyFont="1" applyFill="1" applyBorder="1" applyAlignment="1">
      <alignment horizontal="center" vertical="center" wrapText="1"/>
    </xf>
    <xf numFmtId="1" fontId="2" fillId="10" borderId="1" xfId="0" applyNumberFormat="1" applyFont="1" applyFill="1" applyBorder="1" applyAlignment="1">
      <alignment horizontal="right" vertical="top" wrapText="1"/>
    </xf>
    <xf numFmtId="1" fontId="2" fillId="3" borderId="1" xfId="0" applyNumberFormat="1" applyFont="1" applyFill="1" applyBorder="1" applyAlignment="1">
      <alignment horizontal="right" vertical="top"/>
    </xf>
    <xf numFmtId="1" fontId="2" fillId="5" borderId="1" xfId="0" applyNumberFormat="1" applyFont="1" applyFill="1" applyBorder="1" applyAlignment="1">
      <alignment horizontal="right" vertical="top"/>
    </xf>
    <xf numFmtId="0" fontId="21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" fontId="8" fillId="9" borderId="1" xfId="0" applyNumberFormat="1" applyFont="1" applyFill="1" applyBorder="1" applyAlignment="1">
      <alignment horizontal="right" vertical="top" wrapText="1"/>
    </xf>
    <xf numFmtId="1" fontId="8" fillId="5" borderId="1" xfId="0" applyNumberFormat="1" applyFont="1" applyFill="1" applyBorder="1" applyAlignment="1">
      <alignment horizontal="right" vertical="top" wrapText="1"/>
    </xf>
    <xf numFmtId="1" fontId="8" fillId="10" borderId="1" xfId="0" applyNumberFormat="1" applyFont="1" applyFill="1" applyBorder="1" applyAlignment="1">
      <alignment horizontal="right" vertical="top" wrapText="1"/>
    </xf>
    <xf numFmtId="1" fontId="8" fillId="6" borderId="1" xfId="0" applyNumberFormat="1" applyFont="1" applyFill="1" applyBorder="1" applyAlignment="1">
      <alignment horizontal="right" vertical="top" wrapText="1"/>
    </xf>
    <xf numFmtId="1" fontId="2" fillId="6" borderId="1" xfId="0" applyNumberFormat="1" applyFont="1" applyFill="1" applyBorder="1" applyAlignment="1">
      <alignment horizontal="right" vertical="top" wrapText="1"/>
    </xf>
    <xf numFmtId="1" fontId="2" fillId="6" borderId="1" xfId="0" applyNumberFormat="1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/>
    </xf>
    <xf numFmtId="1" fontId="2" fillId="11" borderId="1" xfId="0" applyNumberFormat="1" applyFont="1" applyFill="1" applyBorder="1" applyAlignment="1">
      <alignment horizontal="right" vertical="top" wrapText="1"/>
    </xf>
    <xf numFmtId="1" fontId="2" fillId="11" borderId="1" xfId="0" applyNumberFormat="1" applyFont="1" applyFill="1" applyBorder="1" applyAlignment="1">
      <alignment horizontal="center" vertical="center" wrapText="1"/>
    </xf>
    <xf numFmtId="1" fontId="2" fillId="11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right" vertical="top"/>
    </xf>
    <xf numFmtId="1" fontId="2" fillId="11" borderId="1" xfId="0" applyNumberFormat="1" applyFont="1" applyFill="1" applyBorder="1" applyAlignment="1">
      <alignment vertical="center" wrapText="1"/>
    </xf>
    <xf numFmtId="1" fontId="2" fillId="11" borderId="1" xfId="0" applyNumberFormat="1" applyFont="1" applyFill="1" applyBorder="1" applyAlignment="1">
      <alignment horizontal="right" vertical="top"/>
    </xf>
    <xf numFmtId="1" fontId="8" fillId="11" borderId="1" xfId="0" applyNumberFormat="1" applyFont="1" applyFill="1" applyBorder="1" applyAlignment="1">
      <alignment horizontal="right" vertical="top" wrapText="1"/>
    </xf>
    <xf numFmtId="0" fontId="10" fillId="0" borderId="1" xfId="0" applyFont="1" applyBorder="1" applyAlignment="1">
      <alignment vertical="center" wrapText="1"/>
    </xf>
    <xf numFmtId="0" fontId="2" fillId="0" borderId="1" xfId="0" applyFont="1" applyBorder="1"/>
    <xf numFmtId="166" fontId="8" fillId="0" borderId="1" xfId="0" applyNumberFormat="1" applyFont="1" applyBorder="1" applyAlignment="1">
      <alignment horizontal="right" vertical="top"/>
    </xf>
    <xf numFmtId="1" fontId="8" fillId="9" borderId="1" xfId="0" applyNumberFormat="1" applyFont="1" applyFill="1" applyBorder="1" applyAlignment="1">
      <alignment horizontal="center" vertical="center" wrapText="1"/>
    </xf>
    <xf numFmtId="1" fontId="2" fillId="9" borderId="1" xfId="0" applyNumberFormat="1" applyFont="1" applyFill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right" vertical="top"/>
    </xf>
    <xf numFmtId="1" fontId="3" fillId="11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0" fillId="0" borderId="0" xfId="0"/>
    <xf numFmtId="0" fontId="20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11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8" fillId="9" borderId="1" xfId="0" applyFont="1" applyFill="1" applyBorder="1" applyAlignment="1">
      <alignment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9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justify" vertical="center" wrapText="1"/>
    </xf>
    <xf numFmtId="0" fontId="11" fillId="9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9" fillId="6" borderId="4" xfId="0" applyFont="1" applyFill="1" applyBorder="1" applyAlignment="1">
      <alignment horizontal="justify" vertical="top" wrapText="1"/>
    </xf>
    <xf numFmtId="0" fontId="0" fillId="6" borderId="3" xfId="0" applyFill="1" applyBorder="1" applyAlignment="1">
      <alignment horizontal="justify" vertical="top" wrapText="1"/>
    </xf>
    <xf numFmtId="0" fontId="9" fillId="0" borderId="4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9" fillId="11" borderId="4" xfId="0" applyFont="1" applyFill="1" applyBorder="1" applyAlignment="1">
      <alignment horizontal="justify" vertical="top" wrapText="1"/>
    </xf>
    <xf numFmtId="0" fontId="0" fillId="11" borderId="3" xfId="0" applyFill="1" applyBorder="1" applyAlignment="1">
      <alignment horizontal="justify" vertical="top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15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1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left" vertical="center" wrapText="1"/>
    </xf>
    <xf numFmtId="0" fontId="8" fillId="10" borderId="1" xfId="0" applyFont="1" applyFill="1" applyBorder="1" applyAlignment="1">
      <alignment horizontal="left" vertical="center" wrapText="1"/>
    </xf>
    <xf numFmtId="0" fontId="8" fillId="9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10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" fontId="3" fillId="9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1" fontId="11" fillId="9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7"/>
  <sheetViews>
    <sheetView tabSelected="1" topLeftCell="A175" workbookViewId="0">
      <selection activeCell="A12" sqref="A12:XFD12"/>
    </sheetView>
  </sheetViews>
  <sheetFormatPr defaultRowHeight="14.4" x14ac:dyDescent="0.3"/>
  <cols>
    <col min="1" max="1" width="29.6640625" customWidth="1"/>
    <col min="2" max="2" width="33.5546875" customWidth="1"/>
    <col min="3" max="3" width="12" customWidth="1"/>
    <col min="4" max="4" width="14.6640625" customWidth="1"/>
    <col min="5" max="5" width="14.109375" customWidth="1"/>
    <col min="6" max="7" width="14.109375" hidden="1" customWidth="1"/>
    <col min="8" max="8" width="11.88671875" customWidth="1"/>
    <col min="9" max="9" width="15" customWidth="1"/>
    <col min="10" max="13" width="10.6640625" bestFit="1" customWidth="1"/>
  </cols>
  <sheetData>
    <row r="1" spans="1:13" ht="10.050000000000001" customHeight="1" x14ac:dyDescent="0.3">
      <c r="A1" s="1"/>
      <c r="B1" s="1"/>
      <c r="C1" s="1"/>
      <c r="D1" s="1"/>
      <c r="E1" s="1"/>
      <c r="F1" s="1"/>
      <c r="G1" s="1"/>
      <c r="H1" s="139" t="s">
        <v>0</v>
      </c>
      <c r="I1" s="139"/>
      <c r="J1" s="139"/>
      <c r="K1" s="139"/>
      <c r="L1" s="139"/>
      <c r="M1" s="139"/>
    </row>
    <row r="2" spans="1:13" ht="10.050000000000001" customHeight="1" x14ac:dyDescent="0.3">
      <c r="A2" s="1"/>
      <c r="B2" s="1"/>
      <c r="C2" s="1"/>
      <c r="D2" s="1"/>
      <c r="E2" s="1"/>
      <c r="F2" s="1"/>
      <c r="G2" s="1"/>
      <c r="H2" s="140" t="s">
        <v>1</v>
      </c>
      <c r="I2" s="140"/>
      <c r="J2" s="140"/>
      <c r="K2" s="140"/>
      <c r="L2" s="140"/>
      <c r="M2" s="140"/>
    </row>
    <row r="3" spans="1:13" ht="10.050000000000001" customHeight="1" x14ac:dyDescent="0.3">
      <c r="A3" s="1"/>
      <c r="B3" s="1"/>
      <c r="C3" s="1"/>
      <c r="D3" s="1"/>
      <c r="E3" s="1"/>
      <c r="F3" s="1"/>
      <c r="G3" s="1"/>
      <c r="H3" s="140" t="s">
        <v>2</v>
      </c>
      <c r="I3" s="140"/>
      <c r="J3" s="140"/>
      <c r="K3" s="140"/>
      <c r="L3" s="140"/>
      <c r="M3" s="140"/>
    </row>
    <row r="4" spans="1:13" ht="10.050000000000001" customHeight="1" x14ac:dyDescent="0.3">
      <c r="A4" s="1"/>
      <c r="B4" s="141"/>
      <c r="C4" s="141"/>
      <c r="D4" s="141"/>
      <c r="E4" s="141"/>
      <c r="F4" s="66"/>
      <c r="G4" s="66"/>
      <c r="H4" s="142" t="s">
        <v>3</v>
      </c>
      <c r="I4" s="142"/>
      <c r="J4" s="142"/>
      <c r="K4" s="142"/>
      <c r="L4" s="142"/>
      <c r="M4" s="142"/>
    </row>
    <row r="5" spans="1:13" ht="10.050000000000001" customHeight="1" x14ac:dyDescent="0.3">
      <c r="B5" s="2"/>
      <c r="C5" s="2"/>
      <c r="D5" s="2"/>
      <c r="E5" s="2"/>
      <c r="F5" s="2"/>
      <c r="G5" s="2"/>
      <c r="H5" s="3"/>
      <c r="I5" s="3"/>
      <c r="J5" s="3"/>
      <c r="K5" s="3"/>
      <c r="L5" s="3"/>
      <c r="M5" s="3"/>
    </row>
    <row r="6" spans="1:13" ht="18" x14ac:dyDescent="0.3">
      <c r="B6" s="2"/>
      <c r="C6" s="2"/>
      <c r="D6" s="2"/>
      <c r="E6" s="2"/>
      <c r="F6" s="2"/>
      <c r="G6" s="2"/>
      <c r="H6" s="143" t="s">
        <v>4</v>
      </c>
      <c r="I6" s="143"/>
      <c r="J6" s="143"/>
      <c r="K6" s="143"/>
      <c r="L6" s="3"/>
      <c r="M6" s="3"/>
    </row>
    <row r="7" spans="1:13" ht="15" customHeight="1" x14ac:dyDescent="0.3">
      <c r="B7" s="2"/>
      <c r="C7" s="2"/>
      <c r="D7" s="2"/>
      <c r="E7" s="2"/>
      <c r="F7" s="2"/>
      <c r="G7" s="2"/>
      <c r="H7" s="135" t="s">
        <v>5</v>
      </c>
      <c r="I7" s="135"/>
      <c r="J7" s="135"/>
      <c r="K7" s="135"/>
      <c r="L7" s="135"/>
      <c r="M7" s="135"/>
    </row>
    <row r="8" spans="1:13" ht="15" customHeight="1" x14ac:dyDescent="0.3">
      <c r="B8" s="2"/>
      <c r="C8" s="2"/>
      <c r="D8" s="2"/>
      <c r="E8" s="2"/>
      <c r="F8" s="2"/>
      <c r="G8" s="2"/>
      <c r="H8" s="135" t="s">
        <v>456</v>
      </c>
      <c r="I8" s="144"/>
      <c r="J8" s="144"/>
      <c r="K8" s="3"/>
      <c r="L8" s="3"/>
      <c r="M8" s="3"/>
    </row>
    <row r="9" spans="1:13" ht="10.050000000000001" customHeight="1" x14ac:dyDescent="0.3">
      <c r="B9" s="2"/>
      <c r="C9" s="2"/>
      <c r="D9" s="2"/>
      <c r="E9" s="2"/>
      <c r="F9" s="2"/>
      <c r="G9" s="2"/>
      <c r="H9" s="4"/>
      <c r="I9" s="4"/>
      <c r="J9" s="4"/>
      <c r="K9" s="4"/>
      <c r="L9" s="4"/>
      <c r="M9" s="4"/>
    </row>
    <row r="10" spans="1:13" ht="17.399999999999999" x14ac:dyDescent="0.3">
      <c r="A10" s="5" t="s">
        <v>6</v>
      </c>
      <c r="B10" s="136" t="s">
        <v>389</v>
      </c>
      <c r="C10" s="136"/>
      <c r="D10" s="136"/>
      <c r="E10" s="136"/>
      <c r="F10" s="64"/>
      <c r="G10" s="64"/>
      <c r="H10" s="6" t="s">
        <v>7</v>
      </c>
      <c r="I10" s="137">
        <v>35095929</v>
      </c>
      <c r="J10" s="137"/>
      <c r="K10" s="137"/>
      <c r="L10" s="137"/>
      <c r="M10" s="137"/>
    </row>
    <row r="11" spans="1:13" ht="18" x14ac:dyDescent="0.3">
      <c r="A11" s="5" t="s">
        <v>8</v>
      </c>
      <c r="B11" s="138" t="s">
        <v>390</v>
      </c>
      <c r="C11" s="138"/>
      <c r="D11" s="138"/>
      <c r="E11" s="138"/>
      <c r="F11" s="65"/>
      <c r="G11" s="65"/>
      <c r="H11" s="6" t="s">
        <v>9</v>
      </c>
      <c r="I11" s="137">
        <v>3210800000</v>
      </c>
      <c r="J11" s="137"/>
      <c r="K11" s="137"/>
      <c r="L11" s="137"/>
      <c r="M11" s="137"/>
    </row>
    <row r="12" spans="1:13" ht="28.05" customHeight="1" x14ac:dyDescent="0.3">
      <c r="A12" s="5" t="s">
        <v>10</v>
      </c>
      <c r="B12" s="146" t="s">
        <v>391</v>
      </c>
      <c r="C12" s="146"/>
      <c r="D12" s="146"/>
      <c r="E12" s="146"/>
      <c r="F12" s="68"/>
      <c r="G12" s="68"/>
      <c r="H12" s="6" t="s">
        <v>11</v>
      </c>
      <c r="I12" s="137">
        <v>150</v>
      </c>
      <c r="J12" s="137"/>
      <c r="K12" s="137"/>
      <c r="L12" s="137"/>
      <c r="M12" s="137"/>
    </row>
    <row r="13" spans="1:13" ht="18" x14ac:dyDescent="0.3">
      <c r="A13" s="5" t="s">
        <v>12</v>
      </c>
      <c r="B13" s="145" t="s">
        <v>392</v>
      </c>
      <c r="C13" s="145"/>
      <c r="D13" s="145"/>
      <c r="E13" s="145"/>
      <c r="F13" s="67"/>
      <c r="G13" s="67"/>
      <c r="H13" s="6" t="s">
        <v>13</v>
      </c>
      <c r="I13" s="137" t="s">
        <v>395</v>
      </c>
      <c r="J13" s="137"/>
      <c r="K13" s="137"/>
      <c r="L13" s="137"/>
      <c r="M13" s="137"/>
    </row>
    <row r="14" spans="1:13" ht="28.05" customHeight="1" x14ac:dyDescent="0.3">
      <c r="A14" s="5" t="s">
        <v>14</v>
      </c>
      <c r="B14" s="145" t="s">
        <v>393</v>
      </c>
      <c r="C14" s="145"/>
      <c r="D14" s="145"/>
      <c r="E14" s="145"/>
      <c r="F14" s="69"/>
      <c r="G14" s="69"/>
      <c r="H14" s="7"/>
      <c r="I14" s="7"/>
      <c r="J14" s="7"/>
      <c r="K14" s="7"/>
      <c r="L14" s="7"/>
    </row>
    <row r="15" spans="1:13" ht="28.05" customHeight="1" x14ac:dyDescent="0.3">
      <c r="A15" s="5" t="s">
        <v>15</v>
      </c>
      <c r="B15" s="146">
        <v>4</v>
      </c>
      <c r="C15" s="146"/>
      <c r="D15" s="146"/>
      <c r="E15" s="146"/>
      <c r="F15" s="70"/>
      <c r="G15" s="70"/>
      <c r="H15" s="7"/>
      <c r="I15" s="7"/>
      <c r="J15" s="7"/>
      <c r="K15" s="7"/>
      <c r="L15" s="7"/>
    </row>
    <row r="16" spans="1:13" ht="28.05" customHeight="1" x14ac:dyDescent="0.3">
      <c r="A16" s="5" t="s">
        <v>16</v>
      </c>
      <c r="B16" s="145" t="s">
        <v>394</v>
      </c>
      <c r="C16" s="145"/>
      <c r="D16" s="145"/>
      <c r="E16" s="145"/>
      <c r="F16" s="69"/>
      <c r="G16" s="69"/>
      <c r="H16" s="7"/>
      <c r="I16" s="7"/>
      <c r="J16" s="7"/>
      <c r="K16" s="7"/>
      <c r="L16" s="7"/>
    </row>
    <row r="17" spans="1:13" ht="18" x14ac:dyDescent="0.3">
      <c r="A17" s="5" t="s">
        <v>17</v>
      </c>
      <c r="B17" s="146" t="s">
        <v>455</v>
      </c>
      <c r="C17" s="146"/>
      <c r="D17" s="146"/>
      <c r="E17" s="146"/>
      <c r="F17" s="70"/>
      <c r="G17" s="70"/>
      <c r="H17" s="7"/>
      <c r="I17" s="7"/>
      <c r="J17" s="7"/>
      <c r="K17" s="7"/>
      <c r="L17" s="7"/>
      <c r="M17" s="7"/>
    </row>
    <row r="18" spans="1:13" ht="10.050000000000001" customHeight="1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ht="18" x14ac:dyDescent="0.3">
      <c r="A19" s="147" t="s">
        <v>18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  <c r="M19" s="147"/>
    </row>
    <row r="20" spans="1:13" ht="18" x14ac:dyDescent="0.3">
      <c r="A20" s="147" t="s">
        <v>447</v>
      </c>
      <c r="B20" s="147"/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7"/>
    </row>
    <row r="21" spans="1:13" ht="18" x14ac:dyDescent="0.3">
      <c r="A21" s="147" t="s">
        <v>19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  <c r="M21" s="147"/>
    </row>
    <row r="22" spans="1:13" x14ac:dyDescent="0.3">
      <c r="A22" s="148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7"/>
    </row>
    <row r="23" spans="1:13" ht="30" customHeight="1" x14ac:dyDescent="0.3">
      <c r="A23" s="103" t="s">
        <v>432</v>
      </c>
      <c r="B23" s="104"/>
      <c r="C23" s="107" t="s">
        <v>20</v>
      </c>
      <c r="D23" s="107" t="s">
        <v>450</v>
      </c>
      <c r="E23" s="107" t="s">
        <v>448</v>
      </c>
      <c r="F23" s="94" t="s">
        <v>451</v>
      </c>
      <c r="G23" s="94" t="s">
        <v>452</v>
      </c>
      <c r="H23" s="107" t="s">
        <v>453</v>
      </c>
      <c r="I23" s="107" t="s">
        <v>454</v>
      </c>
      <c r="J23" s="108" t="s">
        <v>21</v>
      </c>
      <c r="K23" s="108"/>
      <c r="L23" s="108"/>
      <c r="M23" s="108"/>
    </row>
    <row r="24" spans="1:13" ht="30" customHeight="1" x14ac:dyDescent="0.3">
      <c r="A24" s="105"/>
      <c r="B24" s="106"/>
      <c r="C24" s="107"/>
      <c r="D24" s="107"/>
      <c r="E24" s="107"/>
      <c r="F24" s="94"/>
      <c r="G24" s="94"/>
      <c r="H24" s="107"/>
      <c r="I24" s="107"/>
      <c r="J24" s="47">
        <v>1</v>
      </c>
      <c r="K24" s="47">
        <v>2</v>
      </c>
      <c r="L24" s="47">
        <v>3</v>
      </c>
      <c r="M24" s="47">
        <v>4</v>
      </c>
    </row>
    <row r="25" spans="1:13" ht="15.6" x14ac:dyDescent="0.3">
      <c r="A25" s="117" t="s">
        <v>22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8"/>
    </row>
    <row r="26" spans="1:13" ht="30" customHeight="1" x14ac:dyDescent="0.3">
      <c r="A26" s="149" t="s">
        <v>23</v>
      </c>
      <c r="B26" s="149"/>
      <c r="C26" s="8">
        <v>1</v>
      </c>
      <c r="D26" s="61">
        <v>2104</v>
      </c>
      <c r="E26" s="61">
        <v>2029.84</v>
      </c>
      <c r="F26" s="61">
        <v>977</v>
      </c>
      <c r="G26" s="61">
        <v>1022</v>
      </c>
      <c r="H26" s="61">
        <f>F26+G26</f>
        <v>1999</v>
      </c>
      <c r="I26" s="61">
        <f>J26+K26+L26+M26</f>
        <v>2392</v>
      </c>
      <c r="J26" s="61">
        <v>540</v>
      </c>
      <c r="K26" s="61">
        <v>600</v>
      </c>
      <c r="L26" s="61">
        <v>600</v>
      </c>
      <c r="M26" s="61">
        <v>652</v>
      </c>
    </row>
    <row r="27" spans="1:13" ht="15.6" x14ac:dyDescent="0.3">
      <c r="A27" s="109" t="s">
        <v>24</v>
      </c>
      <c r="B27" s="109"/>
      <c r="C27" s="9">
        <v>2</v>
      </c>
      <c r="D27" s="78">
        <v>351</v>
      </c>
      <c r="E27" s="78">
        <v>339</v>
      </c>
      <c r="F27" s="78">
        <v>163</v>
      </c>
      <c r="G27" s="78">
        <v>171</v>
      </c>
      <c r="H27" s="78">
        <f t="shared" ref="H27:H35" si="0">F27+G27</f>
        <v>334</v>
      </c>
      <c r="I27" s="78">
        <f>J27+K27+L27+M27</f>
        <v>399</v>
      </c>
      <c r="J27" s="78">
        <v>90</v>
      </c>
      <c r="K27" s="78">
        <v>100</v>
      </c>
      <c r="L27" s="78">
        <v>100</v>
      </c>
      <c r="M27" s="78">
        <v>109</v>
      </c>
    </row>
    <row r="28" spans="1:13" ht="15.6" x14ac:dyDescent="0.3">
      <c r="A28" s="110" t="s">
        <v>25</v>
      </c>
      <c r="B28" s="110"/>
      <c r="C28" s="9">
        <v>3</v>
      </c>
      <c r="D28" s="22">
        <v>0</v>
      </c>
      <c r="E28" s="22">
        <v>0</v>
      </c>
      <c r="F28" s="22">
        <v>0</v>
      </c>
      <c r="G28" s="22">
        <v>0</v>
      </c>
      <c r="H28" s="22">
        <f t="shared" si="0"/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</row>
    <row r="29" spans="1:13" ht="15.6" x14ac:dyDescent="0.3">
      <c r="A29" s="110" t="s">
        <v>26</v>
      </c>
      <c r="B29" s="110"/>
      <c r="C29" s="9">
        <v>4</v>
      </c>
      <c r="D29" s="22">
        <v>0</v>
      </c>
      <c r="E29" s="22">
        <v>0</v>
      </c>
      <c r="F29" s="22">
        <v>0</v>
      </c>
      <c r="G29" s="22">
        <v>0</v>
      </c>
      <c r="H29" s="22">
        <f t="shared" si="0"/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</row>
    <row r="30" spans="1:13" ht="30" customHeight="1" x14ac:dyDescent="0.3">
      <c r="A30" s="149" t="s">
        <v>27</v>
      </c>
      <c r="B30" s="149"/>
      <c r="C30" s="8">
        <v>5</v>
      </c>
      <c r="D30" s="73">
        <v>1753</v>
      </c>
      <c r="E30" s="73">
        <v>1690.84</v>
      </c>
      <c r="F30" s="73">
        <v>814</v>
      </c>
      <c r="G30" s="61">
        <v>851</v>
      </c>
      <c r="H30" s="61">
        <f t="shared" si="0"/>
        <v>1665</v>
      </c>
      <c r="I30" s="73">
        <f>I26-I27-I28-I29</f>
        <v>1993</v>
      </c>
      <c r="J30" s="73">
        <f>J26-J27</f>
        <v>450</v>
      </c>
      <c r="K30" s="73">
        <f t="shared" ref="K30:M30" si="1">K26-K27</f>
        <v>500</v>
      </c>
      <c r="L30" s="73">
        <f t="shared" si="1"/>
        <v>500</v>
      </c>
      <c r="M30" s="73">
        <f t="shared" si="1"/>
        <v>543</v>
      </c>
    </row>
    <row r="31" spans="1:13" ht="18" x14ac:dyDescent="0.3">
      <c r="A31" s="150" t="s">
        <v>431</v>
      </c>
      <c r="B31" s="150"/>
      <c r="C31" s="10" t="s">
        <v>28</v>
      </c>
      <c r="D31" s="81">
        <v>1407</v>
      </c>
      <c r="E31" s="22">
        <v>1407</v>
      </c>
      <c r="F31" s="22">
        <v>650</v>
      </c>
      <c r="G31" s="22">
        <v>707</v>
      </c>
      <c r="H31" s="22">
        <f t="shared" si="0"/>
        <v>1357</v>
      </c>
      <c r="I31" s="22">
        <f>I30-I32-I33-I34-I35</f>
        <v>1669</v>
      </c>
      <c r="J31" s="22">
        <f>J30-J32-J33-J34</f>
        <v>372</v>
      </c>
      <c r="K31" s="22">
        <f t="shared" ref="K31:M31" si="2">K30-K32-K33-K34</f>
        <v>418</v>
      </c>
      <c r="L31" s="22">
        <f t="shared" si="2"/>
        <v>418</v>
      </c>
      <c r="M31" s="22">
        <f t="shared" si="2"/>
        <v>461</v>
      </c>
    </row>
    <row r="32" spans="1:13" ht="18" x14ac:dyDescent="0.3">
      <c r="A32" s="150" t="s">
        <v>429</v>
      </c>
      <c r="B32" s="150"/>
      <c r="C32" s="10" t="s">
        <v>29</v>
      </c>
      <c r="D32" s="81">
        <v>163</v>
      </c>
      <c r="E32" s="22">
        <v>79</v>
      </c>
      <c r="F32" s="22">
        <v>43</v>
      </c>
      <c r="G32" s="22">
        <v>40</v>
      </c>
      <c r="H32" s="22">
        <f t="shared" si="0"/>
        <v>83</v>
      </c>
      <c r="I32" s="22">
        <f>J32+K32+L32+M32</f>
        <v>92</v>
      </c>
      <c r="J32" s="22">
        <v>20</v>
      </c>
      <c r="K32" s="22">
        <v>24</v>
      </c>
      <c r="L32" s="22">
        <v>24</v>
      </c>
      <c r="M32" s="23">
        <v>24</v>
      </c>
    </row>
    <row r="33" spans="1:13" ht="18" x14ac:dyDescent="0.3">
      <c r="A33" s="150" t="s">
        <v>433</v>
      </c>
      <c r="B33" s="150"/>
      <c r="C33" s="10" t="s">
        <v>30</v>
      </c>
      <c r="D33" s="81">
        <v>181</v>
      </c>
      <c r="E33" s="22">
        <v>193</v>
      </c>
      <c r="F33" s="22">
        <v>120</v>
      </c>
      <c r="G33" s="22">
        <v>98</v>
      </c>
      <c r="H33" s="22">
        <f t="shared" si="0"/>
        <v>218</v>
      </c>
      <c r="I33" s="22">
        <f>J33+K33+L33+M33</f>
        <v>220</v>
      </c>
      <c r="J33" s="22">
        <v>55</v>
      </c>
      <c r="K33" s="22">
        <v>55</v>
      </c>
      <c r="L33" s="22">
        <v>55</v>
      </c>
      <c r="M33" s="22">
        <v>55</v>
      </c>
    </row>
    <row r="34" spans="1:13" ht="15.6" x14ac:dyDescent="0.3">
      <c r="A34" s="150" t="s">
        <v>434</v>
      </c>
      <c r="B34" s="150"/>
      <c r="C34" s="10" t="s">
        <v>31</v>
      </c>
      <c r="D34" s="22">
        <v>2</v>
      </c>
      <c r="E34" s="22">
        <v>12</v>
      </c>
      <c r="F34" s="22">
        <v>1</v>
      </c>
      <c r="G34" s="22">
        <v>6</v>
      </c>
      <c r="H34" s="22">
        <f t="shared" si="0"/>
        <v>7</v>
      </c>
      <c r="I34" s="22">
        <v>12</v>
      </c>
      <c r="J34" s="22">
        <v>3</v>
      </c>
      <c r="K34" s="22">
        <v>3</v>
      </c>
      <c r="L34" s="22">
        <v>3</v>
      </c>
      <c r="M34" s="23">
        <v>3</v>
      </c>
    </row>
    <row r="35" spans="1:13" ht="15.6" x14ac:dyDescent="0.3">
      <c r="A35" s="151"/>
      <c r="B35" s="151"/>
      <c r="C35" s="10" t="s">
        <v>32</v>
      </c>
      <c r="D35" s="22">
        <v>0</v>
      </c>
      <c r="E35" s="22">
        <v>0</v>
      </c>
      <c r="F35" s="22">
        <v>0</v>
      </c>
      <c r="G35" s="22">
        <v>0</v>
      </c>
      <c r="H35" s="22">
        <f t="shared" si="0"/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</row>
    <row r="36" spans="1:13" ht="3" customHeight="1" x14ac:dyDescent="0.3">
      <c r="A36" s="38"/>
      <c r="B36" s="38"/>
      <c r="C36" s="39"/>
      <c r="D36" s="40"/>
      <c r="E36" s="40"/>
      <c r="F36" s="40"/>
      <c r="G36" s="40"/>
      <c r="H36" s="40"/>
      <c r="I36" s="40"/>
      <c r="J36" s="40"/>
      <c r="K36" s="40"/>
      <c r="L36" s="40"/>
      <c r="M36" s="41"/>
    </row>
    <row r="37" spans="1:13" ht="30" customHeight="1" x14ac:dyDescent="0.3">
      <c r="A37" s="103" t="s">
        <v>432</v>
      </c>
      <c r="B37" s="104"/>
      <c r="C37" s="107" t="s">
        <v>20</v>
      </c>
      <c r="D37" s="107" t="s">
        <v>450</v>
      </c>
      <c r="E37" s="107" t="s">
        <v>448</v>
      </c>
      <c r="F37" s="94" t="s">
        <v>451</v>
      </c>
      <c r="G37" s="94" t="s">
        <v>452</v>
      </c>
      <c r="H37" s="107" t="s">
        <v>453</v>
      </c>
      <c r="I37" s="107" t="s">
        <v>454</v>
      </c>
      <c r="J37" s="108" t="s">
        <v>21</v>
      </c>
      <c r="K37" s="108"/>
      <c r="L37" s="108"/>
      <c r="M37" s="108"/>
    </row>
    <row r="38" spans="1:13" ht="30" customHeight="1" x14ac:dyDescent="0.3">
      <c r="A38" s="105"/>
      <c r="B38" s="106"/>
      <c r="C38" s="107"/>
      <c r="D38" s="107"/>
      <c r="E38" s="107"/>
      <c r="F38" s="94"/>
      <c r="G38" s="94"/>
      <c r="H38" s="107"/>
      <c r="I38" s="107"/>
      <c r="J38" s="47">
        <v>1</v>
      </c>
      <c r="K38" s="47">
        <v>2</v>
      </c>
      <c r="L38" s="47">
        <v>3</v>
      </c>
      <c r="M38" s="47">
        <v>4</v>
      </c>
    </row>
    <row r="39" spans="1:13" ht="30" customHeight="1" x14ac:dyDescent="0.3">
      <c r="A39" s="111" t="s">
        <v>33</v>
      </c>
      <c r="B39" s="111"/>
      <c r="C39" s="8">
        <v>6</v>
      </c>
      <c r="D39" s="71">
        <v>635</v>
      </c>
      <c r="E39" s="71">
        <v>567</v>
      </c>
      <c r="F39" s="71">
        <v>316</v>
      </c>
      <c r="G39" s="71">
        <v>284</v>
      </c>
      <c r="H39" s="71">
        <f>SUM(H40:H48)</f>
        <v>600</v>
      </c>
      <c r="I39" s="71">
        <f>SUM(I40:I48)</f>
        <v>693</v>
      </c>
      <c r="J39" s="71">
        <v>157</v>
      </c>
      <c r="K39" s="71">
        <v>174</v>
      </c>
      <c r="L39" s="71">
        <v>174</v>
      </c>
      <c r="M39" s="71">
        <v>188</v>
      </c>
    </row>
    <row r="40" spans="1:13" ht="15.6" x14ac:dyDescent="0.3">
      <c r="A40" s="110" t="s">
        <v>34</v>
      </c>
      <c r="B40" s="110"/>
      <c r="C40" s="10" t="s">
        <v>35</v>
      </c>
      <c r="D40" s="22">
        <v>0</v>
      </c>
      <c r="E40" s="22">
        <v>0</v>
      </c>
      <c r="F40" s="22">
        <v>0</v>
      </c>
      <c r="G40" s="24">
        <v>0</v>
      </c>
      <c r="H40" s="24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ht="15.6" x14ac:dyDescent="0.3">
      <c r="A41" s="110" t="s">
        <v>36</v>
      </c>
      <c r="B41" s="110"/>
      <c r="C41" s="10" t="s">
        <v>37</v>
      </c>
      <c r="D41" s="22">
        <v>0</v>
      </c>
      <c r="E41" s="22">
        <v>0</v>
      </c>
      <c r="F41" s="22">
        <v>0</v>
      </c>
      <c r="G41" s="24">
        <v>0</v>
      </c>
      <c r="H41" s="24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</row>
    <row r="42" spans="1:13" ht="15.6" x14ac:dyDescent="0.3">
      <c r="A42" s="110" t="s">
        <v>38</v>
      </c>
      <c r="B42" s="110"/>
      <c r="C42" s="10" t="s">
        <v>39</v>
      </c>
      <c r="D42" s="22">
        <v>0</v>
      </c>
      <c r="E42" s="22">
        <v>0</v>
      </c>
      <c r="F42" s="22">
        <v>0</v>
      </c>
      <c r="G42" s="24">
        <v>0</v>
      </c>
      <c r="H42" s="24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</row>
    <row r="43" spans="1:13" ht="15.6" x14ac:dyDescent="0.3">
      <c r="A43" s="110" t="s">
        <v>40</v>
      </c>
      <c r="B43" s="110"/>
      <c r="C43" s="10" t="s">
        <v>41</v>
      </c>
      <c r="D43" s="22">
        <v>0</v>
      </c>
      <c r="E43" s="22">
        <v>0</v>
      </c>
      <c r="F43" s="22">
        <v>0</v>
      </c>
      <c r="G43" s="24">
        <v>0</v>
      </c>
      <c r="H43" s="24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3" ht="18" x14ac:dyDescent="0.3">
      <c r="A44" s="156" t="s">
        <v>42</v>
      </c>
      <c r="B44" s="156"/>
      <c r="C44" s="10" t="s">
        <v>43</v>
      </c>
      <c r="D44" s="82">
        <v>511</v>
      </c>
      <c r="E44" s="22">
        <v>448</v>
      </c>
      <c r="F44" s="34">
        <v>245</v>
      </c>
      <c r="G44" s="24">
        <v>224</v>
      </c>
      <c r="H44" s="55">
        <f>F44+G44</f>
        <v>469</v>
      </c>
      <c r="I44" s="34">
        <v>542</v>
      </c>
      <c r="J44" s="34">
        <v>122</v>
      </c>
      <c r="K44" s="34">
        <v>136</v>
      </c>
      <c r="L44" s="34">
        <v>136</v>
      </c>
      <c r="M44" s="62">
        <v>148</v>
      </c>
    </row>
    <row r="45" spans="1:13" ht="18" x14ac:dyDescent="0.3">
      <c r="A45" s="152" t="s">
        <v>44</v>
      </c>
      <c r="B45" s="152"/>
      <c r="C45" s="10" t="s">
        <v>45</v>
      </c>
      <c r="D45" s="82">
        <v>112</v>
      </c>
      <c r="E45" s="22">
        <v>99</v>
      </c>
      <c r="F45" s="35">
        <v>54</v>
      </c>
      <c r="G45" s="24">
        <v>50</v>
      </c>
      <c r="H45" s="52">
        <f t="shared" ref="H45:H48" si="3">F45+G45</f>
        <v>104</v>
      </c>
      <c r="I45" s="35">
        <v>119</v>
      </c>
      <c r="J45" s="35">
        <v>27</v>
      </c>
      <c r="K45" s="35">
        <v>30</v>
      </c>
      <c r="L45" s="35">
        <v>30</v>
      </c>
      <c r="M45" s="35">
        <v>32</v>
      </c>
    </row>
    <row r="46" spans="1:13" ht="50.1" customHeight="1" x14ac:dyDescent="0.3">
      <c r="A46" s="153" t="s">
        <v>46</v>
      </c>
      <c r="B46" s="153"/>
      <c r="C46" s="10" t="s">
        <v>47</v>
      </c>
      <c r="D46" s="22">
        <v>0</v>
      </c>
      <c r="E46" s="22"/>
      <c r="F46" s="75">
        <v>1</v>
      </c>
      <c r="G46" s="24">
        <v>0</v>
      </c>
      <c r="H46" s="74">
        <f t="shared" si="3"/>
        <v>1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</row>
    <row r="47" spans="1:13" ht="15.6" x14ac:dyDescent="0.3">
      <c r="A47" s="154" t="s">
        <v>48</v>
      </c>
      <c r="B47" s="154"/>
      <c r="C47" s="10" t="s">
        <v>49</v>
      </c>
      <c r="D47" s="22">
        <v>12</v>
      </c>
      <c r="E47" s="22">
        <v>20</v>
      </c>
      <c r="F47" s="36">
        <v>16</v>
      </c>
      <c r="G47" s="24">
        <v>10</v>
      </c>
      <c r="H47" s="72">
        <f t="shared" si="3"/>
        <v>26</v>
      </c>
      <c r="I47" s="36">
        <f>J47+K47+L47+M47</f>
        <v>32</v>
      </c>
      <c r="J47" s="36">
        <v>23</v>
      </c>
      <c r="K47" s="36">
        <v>3</v>
      </c>
      <c r="L47" s="36">
        <v>3</v>
      </c>
      <c r="M47" s="63">
        <v>3</v>
      </c>
    </row>
    <row r="48" spans="1:13" ht="15.6" x14ac:dyDescent="0.3">
      <c r="A48" s="155" t="s">
        <v>50</v>
      </c>
      <c r="B48" s="155"/>
      <c r="C48" s="10" t="s">
        <v>51</v>
      </c>
      <c r="D48" s="22">
        <v>0</v>
      </c>
      <c r="E48" s="22">
        <v>0</v>
      </c>
      <c r="F48" s="75">
        <v>0</v>
      </c>
      <c r="G48" s="24">
        <v>0</v>
      </c>
      <c r="H48" s="74">
        <f t="shared" si="3"/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</row>
    <row r="49" spans="1:13" ht="15.6" x14ac:dyDescent="0.3">
      <c r="A49" s="149" t="s">
        <v>52</v>
      </c>
      <c r="B49" s="149"/>
      <c r="C49" s="8">
        <v>7</v>
      </c>
      <c r="D49" s="73">
        <v>1118</v>
      </c>
      <c r="E49" s="73">
        <v>1123.8399999999999</v>
      </c>
      <c r="F49" s="73">
        <v>498</v>
      </c>
      <c r="G49" s="73">
        <v>567</v>
      </c>
      <c r="H49" s="73">
        <f>H30-H39</f>
        <v>1065</v>
      </c>
      <c r="I49" s="73">
        <f>I30-I39</f>
        <v>1300</v>
      </c>
      <c r="J49" s="73">
        <f>J30-J39</f>
        <v>293</v>
      </c>
      <c r="K49" s="73">
        <f t="shared" ref="K49:M49" si="4">K30-K39</f>
        <v>326</v>
      </c>
      <c r="L49" s="73">
        <f t="shared" si="4"/>
        <v>326</v>
      </c>
      <c r="M49" s="73">
        <f t="shared" si="4"/>
        <v>355</v>
      </c>
    </row>
    <row r="50" spans="1:13" ht="15.6" x14ac:dyDescent="0.3">
      <c r="A50" s="111" t="s">
        <v>53</v>
      </c>
      <c r="B50" s="111"/>
      <c r="C50" s="8">
        <v>8</v>
      </c>
      <c r="D50" s="71">
        <v>938</v>
      </c>
      <c r="E50" s="71">
        <v>988</v>
      </c>
      <c r="F50" s="71">
        <v>445</v>
      </c>
      <c r="G50" s="71">
        <v>498</v>
      </c>
      <c r="H50" s="71">
        <f>SUM(H52:H69)+H71+H72+H76+H77</f>
        <v>943</v>
      </c>
      <c r="I50" s="71">
        <f>SUM(I52:I69)+I71+I72+I76+I77</f>
        <v>1079</v>
      </c>
      <c r="J50" s="71">
        <f>SUM(J52:J83)-J70-J78-J79-J80-J81-J82-J83-J75</f>
        <v>267</v>
      </c>
      <c r="K50" s="71">
        <f t="shared" ref="K50:M50" si="5">SUM(K52:K83)-K70-K78-K79-K80-K81-K82-K83-K75</f>
        <v>288</v>
      </c>
      <c r="L50" s="71">
        <f t="shared" si="5"/>
        <v>261</v>
      </c>
      <c r="M50" s="71">
        <f t="shared" si="5"/>
        <v>263</v>
      </c>
    </row>
    <row r="51" spans="1:13" ht="16.2" x14ac:dyDescent="0.3">
      <c r="A51" s="110" t="s">
        <v>54</v>
      </c>
      <c r="B51" s="110"/>
      <c r="C51" s="9"/>
      <c r="D51" s="22"/>
      <c r="E51" s="22"/>
      <c r="F51" s="22"/>
      <c r="G51" s="24"/>
      <c r="H51" s="24"/>
      <c r="I51" s="28"/>
      <c r="J51" s="28"/>
      <c r="K51" s="28"/>
      <c r="L51" s="28"/>
      <c r="M51" s="56"/>
    </row>
    <row r="52" spans="1:13" ht="15.6" x14ac:dyDescent="0.3">
      <c r="A52" s="110" t="s">
        <v>55</v>
      </c>
      <c r="B52" s="110"/>
      <c r="C52" s="10" t="s">
        <v>56</v>
      </c>
      <c r="D52" s="22">
        <v>0</v>
      </c>
      <c r="E52" s="22">
        <v>0</v>
      </c>
      <c r="F52" s="22">
        <v>0</v>
      </c>
      <c r="G52" s="24">
        <v>0</v>
      </c>
      <c r="H52" s="24">
        <v>0</v>
      </c>
      <c r="I52" s="22">
        <v>0</v>
      </c>
      <c r="J52" s="22">
        <v>0</v>
      </c>
      <c r="K52" s="22">
        <v>0</v>
      </c>
      <c r="L52" s="22">
        <v>0</v>
      </c>
      <c r="M52" s="22">
        <v>0</v>
      </c>
    </row>
    <row r="53" spans="1:13" ht="15.6" x14ac:dyDescent="0.3">
      <c r="A53" s="155" t="s">
        <v>57</v>
      </c>
      <c r="B53" s="155"/>
      <c r="C53" s="10" t="s">
        <v>58</v>
      </c>
      <c r="D53" s="22">
        <v>1</v>
      </c>
      <c r="E53" s="22">
        <v>1</v>
      </c>
      <c r="F53" s="75">
        <v>1</v>
      </c>
      <c r="G53" s="24">
        <v>0</v>
      </c>
      <c r="H53" s="74">
        <f>F53+G53</f>
        <v>1</v>
      </c>
      <c r="I53" s="75">
        <v>1</v>
      </c>
      <c r="J53" s="75">
        <v>0</v>
      </c>
      <c r="K53" s="75">
        <v>1</v>
      </c>
      <c r="L53" s="75">
        <v>0</v>
      </c>
      <c r="M53" s="83">
        <v>0</v>
      </c>
    </row>
    <row r="54" spans="1:13" ht="15.6" x14ac:dyDescent="0.3">
      <c r="A54" s="167" t="s">
        <v>59</v>
      </c>
      <c r="B54" s="167"/>
      <c r="C54" s="10" t="s">
        <v>60</v>
      </c>
      <c r="D54" s="22">
        <v>0</v>
      </c>
      <c r="E54" s="22">
        <v>0</v>
      </c>
      <c r="F54" s="22">
        <v>0</v>
      </c>
      <c r="G54" s="24">
        <v>0</v>
      </c>
      <c r="H54" s="24">
        <v>0</v>
      </c>
      <c r="I54" s="22">
        <v>0</v>
      </c>
      <c r="J54" s="22">
        <v>0</v>
      </c>
      <c r="K54" s="22">
        <v>0</v>
      </c>
      <c r="L54" s="22">
        <v>0</v>
      </c>
      <c r="M54" s="23">
        <v>0</v>
      </c>
    </row>
    <row r="55" spans="1:13" ht="15.6" x14ac:dyDescent="0.3">
      <c r="A55" s="110" t="s">
        <v>61</v>
      </c>
      <c r="B55" s="110"/>
      <c r="C55" s="10" t="s">
        <v>62</v>
      </c>
      <c r="D55" s="22">
        <v>0</v>
      </c>
      <c r="E55" s="22">
        <v>0</v>
      </c>
      <c r="F55" s="22">
        <v>0</v>
      </c>
      <c r="G55" s="24">
        <v>0</v>
      </c>
      <c r="H55" s="24">
        <v>0</v>
      </c>
      <c r="I55" s="22">
        <v>0</v>
      </c>
      <c r="J55" s="22">
        <v>0</v>
      </c>
      <c r="K55" s="22">
        <v>0</v>
      </c>
      <c r="L55" s="22">
        <v>0</v>
      </c>
      <c r="M55" s="23">
        <v>0</v>
      </c>
    </row>
    <row r="56" spans="1:13" ht="15.6" x14ac:dyDescent="0.3">
      <c r="A56" s="110" t="s">
        <v>63</v>
      </c>
      <c r="B56" s="110"/>
      <c r="C56" s="10" t="s">
        <v>64</v>
      </c>
      <c r="D56" s="22">
        <v>0</v>
      </c>
      <c r="E56" s="22">
        <v>0</v>
      </c>
      <c r="F56" s="22">
        <v>0</v>
      </c>
      <c r="G56" s="24">
        <v>0</v>
      </c>
      <c r="H56" s="24">
        <v>0</v>
      </c>
      <c r="I56" s="22">
        <v>0</v>
      </c>
      <c r="J56" s="22">
        <v>0</v>
      </c>
      <c r="K56" s="22">
        <v>0</v>
      </c>
      <c r="L56" s="22">
        <v>0</v>
      </c>
      <c r="M56" s="23">
        <v>0</v>
      </c>
    </row>
    <row r="57" spans="1:13" ht="15.6" x14ac:dyDescent="0.3">
      <c r="A57" s="110" t="s">
        <v>65</v>
      </c>
      <c r="B57" s="110"/>
      <c r="C57" s="10" t="s">
        <v>66</v>
      </c>
      <c r="D57" s="22">
        <v>0</v>
      </c>
      <c r="E57" s="22">
        <v>0</v>
      </c>
      <c r="F57" s="22">
        <v>0</v>
      </c>
      <c r="G57" s="24">
        <v>0</v>
      </c>
      <c r="H57" s="24">
        <v>0</v>
      </c>
      <c r="I57" s="22">
        <v>0</v>
      </c>
      <c r="J57" s="22">
        <v>0</v>
      </c>
      <c r="K57" s="22">
        <v>0</v>
      </c>
      <c r="L57" s="22">
        <v>0</v>
      </c>
      <c r="M57" s="23">
        <v>0</v>
      </c>
    </row>
    <row r="58" spans="1:13" ht="15.6" x14ac:dyDescent="0.3">
      <c r="A58" s="155" t="s">
        <v>67</v>
      </c>
      <c r="B58" s="155"/>
      <c r="C58" s="10" t="s">
        <v>68</v>
      </c>
      <c r="D58" s="22">
        <v>9</v>
      </c>
      <c r="E58" s="22">
        <v>12</v>
      </c>
      <c r="F58" s="75">
        <v>2</v>
      </c>
      <c r="G58" s="24">
        <v>6</v>
      </c>
      <c r="H58" s="74">
        <f>F58+G58</f>
        <v>8</v>
      </c>
      <c r="I58" s="75">
        <f>J58+K58+L58+M58</f>
        <v>9</v>
      </c>
      <c r="J58" s="22">
        <v>3</v>
      </c>
      <c r="K58" s="75">
        <v>2</v>
      </c>
      <c r="L58" s="75">
        <v>2</v>
      </c>
      <c r="M58" s="75">
        <v>2</v>
      </c>
    </row>
    <row r="59" spans="1:13" ht="15.6" x14ac:dyDescent="0.3">
      <c r="A59" s="156" t="s">
        <v>42</v>
      </c>
      <c r="B59" s="156"/>
      <c r="C59" s="10" t="s">
        <v>69</v>
      </c>
      <c r="D59" s="22">
        <v>614</v>
      </c>
      <c r="E59" s="22">
        <v>647</v>
      </c>
      <c r="F59" s="34">
        <v>323</v>
      </c>
      <c r="G59" s="24">
        <v>325</v>
      </c>
      <c r="H59" s="55">
        <f t="shared" ref="H59:H72" si="6">F59+G59</f>
        <v>648</v>
      </c>
      <c r="I59" s="34">
        <f>J59+K59+L59+M59</f>
        <v>748</v>
      </c>
      <c r="J59" s="34">
        <v>187</v>
      </c>
      <c r="K59" s="34">
        <v>187</v>
      </c>
      <c r="L59" s="34">
        <v>187</v>
      </c>
      <c r="M59" s="62">
        <v>187</v>
      </c>
    </row>
    <row r="60" spans="1:13" ht="15.6" x14ac:dyDescent="0.3">
      <c r="A60" s="152" t="s">
        <v>44</v>
      </c>
      <c r="B60" s="152"/>
      <c r="C60" s="10" t="s">
        <v>70</v>
      </c>
      <c r="D60" s="22">
        <v>135</v>
      </c>
      <c r="E60" s="22">
        <v>142</v>
      </c>
      <c r="F60" s="35">
        <v>71</v>
      </c>
      <c r="G60" s="24">
        <v>72</v>
      </c>
      <c r="H60" s="52">
        <f t="shared" si="6"/>
        <v>143</v>
      </c>
      <c r="I60" s="35">
        <f>J60+K60+L60+M60</f>
        <v>165</v>
      </c>
      <c r="J60" s="35">
        <v>41</v>
      </c>
      <c r="K60" s="35">
        <v>41</v>
      </c>
      <c r="L60" s="35">
        <v>41</v>
      </c>
      <c r="M60" s="35">
        <v>42</v>
      </c>
    </row>
    <row r="61" spans="1:13" ht="15.6" x14ac:dyDescent="0.3">
      <c r="A61" s="154" t="s">
        <v>71</v>
      </c>
      <c r="B61" s="154"/>
      <c r="C61" s="10" t="s">
        <v>72</v>
      </c>
      <c r="D61" s="22">
        <v>33</v>
      </c>
      <c r="E61" s="22">
        <v>16</v>
      </c>
      <c r="F61" s="36">
        <v>10</v>
      </c>
      <c r="G61" s="24">
        <v>8</v>
      </c>
      <c r="H61" s="72">
        <f t="shared" si="6"/>
        <v>18</v>
      </c>
      <c r="I61" s="36">
        <f>J61+K61+L61+M61</f>
        <v>41</v>
      </c>
      <c r="J61" s="36">
        <v>3</v>
      </c>
      <c r="K61" s="36">
        <v>32</v>
      </c>
      <c r="L61" s="36">
        <v>3</v>
      </c>
      <c r="M61" s="63">
        <v>3</v>
      </c>
    </row>
    <row r="62" spans="1:13" ht="30" customHeight="1" x14ac:dyDescent="0.3">
      <c r="A62" s="155" t="s">
        <v>73</v>
      </c>
      <c r="B62" s="155"/>
      <c r="C62" s="10" t="s">
        <v>74</v>
      </c>
      <c r="D62" s="22">
        <v>69</v>
      </c>
      <c r="E62" s="22">
        <v>5</v>
      </c>
      <c r="F62" s="75">
        <v>3</v>
      </c>
      <c r="G62" s="24">
        <v>2</v>
      </c>
      <c r="H62" s="74">
        <f t="shared" si="6"/>
        <v>5</v>
      </c>
      <c r="I62" s="75">
        <f>J62+K62+L62+M62</f>
        <v>5</v>
      </c>
      <c r="J62" s="75">
        <v>3</v>
      </c>
      <c r="K62" s="75">
        <v>0</v>
      </c>
      <c r="L62" s="75">
        <v>2</v>
      </c>
      <c r="M62" s="83">
        <v>0</v>
      </c>
    </row>
    <row r="63" spans="1:13" ht="15.6" x14ac:dyDescent="0.3">
      <c r="A63" s="110" t="s">
        <v>75</v>
      </c>
      <c r="B63" s="110"/>
      <c r="C63" s="10" t="s">
        <v>76</v>
      </c>
      <c r="D63" s="22">
        <v>0</v>
      </c>
      <c r="E63" s="22">
        <v>0</v>
      </c>
      <c r="F63" s="22">
        <v>0</v>
      </c>
      <c r="G63" s="24">
        <v>0</v>
      </c>
      <c r="H63" s="24">
        <f t="shared" si="6"/>
        <v>0</v>
      </c>
      <c r="I63" s="22">
        <v>0</v>
      </c>
      <c r="J63" s="22">
        <v>0</v>
      </c>
      <c r="K63" s="22">
        <v>0</v>
      </c>
      <c r="L63" s="22">
        <v>0</v>
      </c>
      <c r="M63" s="22">
        <v>0</v>
      </c>
    </row>
    <row r="64" spans="1:13" ht="15.6" x14ac:dyDescent="0.3">
      <c r="A64" s="110" t="s">
        <v>77</v>
      </c>
      <c r="B64" s="110"/>
      <c r="C64" s="10" t="s">
        <v>78</v>
      </c>
      <c r="D64" s="22">
        <v>0</v>
      </c>
      <c r="E64" s="22">
        <v>0</v>
      </c>
      <c r="F64" s="22">
        <v>0</v>
      </c>
      <c r="G64" s="24">
        <v>0</v>
      </c>
      <c r="H64" s="24">
        <f t="shared" si="6"/>
        <v>0</v>
      </c>
      <c r="I64" s="22">
        <v>0</v>
      </c>
      <c r="J64" s="22">
        <v>0</v>
      </c>
      <c r="K64" s="22">
        <v>0</v>
      </c>
      <c r="L64" s="22">
        <v>0</v>
      </c>
      <c r="M64" s="22">
        <v>0</v>
      </c>
    </row>
    <row r="65" spans="1:13" ht="15.6" x14ac:dyDescent="0.3">
      <c r="A65" s="110" t="s">
        <v>79</v>
      </c>
      <c r="B65" s="110"/>
      <c r="C65" s="10" t="s">
        <v>80</v>
      </c>
      <c r="D65" s="22">
        <v>0</v>
      </c>
      <c r="E65" s="22">
        <v>0</v>
      </c>
      <c r="F65" s="22">
        <v>0</v>
      </c>
      <c r="G65" s="24">
        <v>0</v>
      </c>
      <c r="H65" s="24">
        <f t="shared" si="6"/>
        <v>0</v>
      </c>
      <c r="I65" s="22">
        <v>0</v>
      </c>
      <c r="J65" s="22">
        <v>0</v>
      </c>
      <c r="K65" s="22">
        <v>0</v>
      </c>
      <c r="L65" s="22">
        <v>0</v>
      </c>
      <c r="M65" s="22">
        <v>0</v>
      </c>
    </row>
    <row r="66" spans="1:13" ht="15.6" x14ac:dyDescent="0.3">
      <c r="A66" s="110" t="s">
        <v>81</v>
      </c>
      <c r="B66" s="110"/>
      <c r="C66" s="10" t="s">
        <v>82</v>
      </c>
      <c r="D66" s="22">
        <v>0</v>
      </c>
      <c r="E66" s="22">
        <v>0</v>
      </c>
      <c r="F66" s="22">
        <v>0</v>
      </c>
      <c r="G66" s="24">
        <v>0</v>
      </c>
      <c r="H66" s="24">
        <f t="shared" si="6"/>
        <v>0</v>
      </c>
      <c r="I66" s="22">
        <v>0</v>
      </c>
      <c r="J66" s="22">
        <v>0</v>
      </c>
      <c r="K66" s="22">
        <v>0</v>
      </c>
      <c r="L66" s="22">
        <v>0</v>
      </c>
      <c r="M66" s="22">
        <v>0</v>
      </c>
    </row>
    <row r="67" spans="1:13" ht="15.6" x14ac:dyDescent="0.3">
      <c r="A67" s="110" t="s">
        <v>83</v>
      </c>
      <c r="B67" s="110"/>
      <c r="C67" s="10" t="s">
        <v>84</v>
      </c>
      <c r="D67" s="22">
        <v>0</v>
      </c>
      <c r="E67" s="22">
        <v>0</v>
      </c>
      <c r="F67" s="22">
        <v>0</v>
      </c>
      <c r="G67" s="24">
        <v>0</v>
      </c>
      <c r="H67" s="24">
        <f t="shared" si="6"/>
        <v>0</v>
      </c>
      <c r="I67" s="22">
        <v>0</v>
      </c>
      <c r="J67" s="22">
        <v>0</v>
      </c>
      <c r="K67" s="22">
        <v>0</v>
      </c>
      <c r="L67" s="22">
        <v>0</v>
      </c>
      <c r="M67" s="22">
        <v>0</v>
      </c>
    </row>
    <row r="68" spans="1:13" ht="15.6" x14ac:dyDescent="0.3">
      <c r="A68" s="110" t="s">
        <v>85</v>
      </c>
      <c r="B68" s="110"/>
      <c r="C68" s="10" t="s">
        <v>86</v>
      </c>
      <c r="D68" s="22">
        <v>13</v>
      </c>
      <c r="E68" s="22">
        <v>0</v>
      </c>
      <c r="F68" s="22">
        <v>0</v>
      </c>
      <c r="G68" s="24">
        <v>0</v>
      </c>
      <c r="H68" s="24">
        <f t="shared" si="6"/>
        <v>0</v>
      </c>
      <c r="I68" s="22">
        <v>0</v>
      </c>
      <c r="J68" s="22">
        <v>0</v>
      </c>
      <c r="K68" s="22">
        <v>0</v>
      </c>
      <c r="L68" s="22">
        <v>0</v>
      </c>
      <c r="M68" s="22">
        <v>0</v>
      </c>
    </row>
    <row r="69" spans="1:13" ht="30" customHeight="1" x14ac:dyDescent="0.3">
      <c r="A69" s="155" t="s">
        <v>87</v>
      </c>
      <c r="B69" s="155"/>
      <c r="C69" s="10" t="s">
        <v>88</v>
      </c>
      <c r="D69" s="22">
        <v>27</v>
      </c>
      <c r="E69" s="22">
        <v>41</v>
      </c>
      <c r="F69" s="75">
        <v>7</v>
      </c>
      <c r="G69" s="24">
        <v>23</v>
      </c>
      <c r="H69" s="74">
        <f t="shared" si="6"/>
        <v>30</v>
      </c>
      <c r="I69" s="75">
        <f>J69+K69+L69+M69</f>
        <v>24</v>
      </c>
      <c r="J69" s="22">
        <v>6</v>
      </c>
      <c r="K69" s="75">
        <v>6</v>
      </c>
      <c r="L69" s="75">
        <v>6</v>
      </c>
      <c r="M69" s="75">
        <v>6</v>
      </c>
    </row>
    <row r="70" spans="1:13" ht="15.6" x14ac:dyDescent="0.3">
      <c r="A70" s="110" t="s">
        <v>89</v>
      </c>
      <c r="B70" s="110"/>
      <c r="C70" s="10" t="s">
        <v>90</v>
      </c>
      <c r="D70" s="22">
        <v>0</v>
      </c>
      <c r="E70" s="22">
        <v>0</v>
      </c>
      <c r="F70" s="22">
        <v>0</v>
      </c>
      <c r="G70" s="24">
        <v>0</v>
      </c>
      <c r="H70" s="24">
        <f t="shared" si="6"/>
        <v>0</v>
      </c>
      <c r="I70" s="22">
        <v>0</v>
      </c>
      <c r="J70" s="22">
        <v>0</v>
      </c>
      <c r="K70" s="22">
        <v>0</v>
      </c>
      <c r="L70" s="22">
        <v>0</v>
      </c>
      <c r="M70" s="22">
        <v>0</v>
      </c>
    </row>
    <row r="71" spans="1:13" ht="15.6" x14ac:dyDescent="0.3">
      <c r="A71" s="110" t="s">
        <v>36</v>
      </c>
      <c r="B71" s="110"/>
      <c r="C71" s="10" t="s">
        <v>91</v>
      </c>
      <c r="D71" s="22">
        <v>0</v>
      </c>
      <c r="E71" s="22">
        <v>0</v>
      </c>
      <c r="F71" s="22">
        <v>0</v>
      </c>
      <c r="G71" s="24">
        <v>0</v>
      </c>
      <c r="H71" s="24">
        <f t="shared" si="6"/>
        <v>0</v>
      </c>
      <c r="I71" s="22">
        <v>0</v>
      </c>
      <c r="J71" s="22">
        <v>0</v>
      </c>
      <c r="K71" s="22">
        <v>0</v>
      </c>
      <c r="L71" s="22">
        <v>0</v>
      </c>
      <c r="M71" s="22">
        <v>0</v>
      </c>
    </row>
    <row r="72" spans="1:13" ht="15.6" x14ac:dyDescent="0.3">
      <c r="A72" s="155" t="s">
        <v>38</v>
      </c>
      <c r="B72" s="155"/>
      <c r="C72" s="10" t="s">
        <v>92</v>
      </c>
      <c r="D72" s="22">
        <v>4</v>
      </c>
      <c r="E72" s="22">
        <v>24</v>
      </c>
      <c r="F72" s="75">
        <v>0</v>
      </c>
      <c r="G72" s="24">
        <v>12</v>
      </c>
      <c r="H72" s="74">
        <f t="shared" si="6"/>
        <v>12</v>
      </c>
      <c r="I72" s="75">
        <f>J72+K72+L72+M72</f>
        <v>24</v>
      </c>
      <c r="J72" s="22">
        <v>6</v>
      </c>
      <c r="K72" s="75">
        <v>6</v>
      </c>
      <c r="L72" s="75">
        <v>6</v>
      </c>
      <c r="M72" s="75">
        <v>6</v>
      </c>
    </row>
    <row r="73" spans="1:13" ht="3" customHeight="1" x14ac:dyDescent="0.3">
      <c r="A73" s="42"/>
      <c r="B73" s="42"/>
      <c r="C73" s="39"/>
      <c r="D73" s="40"/>
      <c r="E73" s="40"/>
      <c r="F73" s="40"/>
      <c r="G73" s="40"/>
      <c r="H73" s="52" t="e">
        <f>#REF!+#REF!</f>
        <v>#REF!</v>
      </c>
      <c r="I73" s="40"/>
      <c r="J73" s="40"/>
      <c r="K73" s="40"/>
      <c r="L73" s="40"/>
      <c r="M73" s="40"/>
    </row>
    <row r="74" spans="1:13" ht="30" customHeight="1" x14ac:dyDescent="0.3">
      <c r="A74" s="103" t="s">
        <v>432</v>
      </c>
      <c r="B74" s="104"/>
      <c r="C74" s="107" t="s">
        <v>20</v>
      </c>
      <c r="D74" s="107" t="s">
        <v>450</v>
      </c>
      <c r="E74" s="107" t="s">
        <v>448</v>
      </c>
      <c r="F74" s="94" t="s">
        <v>451</v>
      </c>
      <c r="G74" s="94" t="s">
        <v>452</v>
      </c>
      <c r="H74" s="107" t="s">
        <v>453</v>
      </c>
      <c r="I74" s="107" t="s">
        <v>454</v>
      </c>
      <c r="J74" s="108" t="s">
        <v>21</v>
      </c>
      <c r="K74" s="108"/>
      <c r="L74" s="108"/>
      <c r="M74" s="108"/>
    </row>
    <row r="75" spans="1:13" ht="30" customHeight="1" x14ac:dyDescent="0.3">
      <c r="A75" s="105"/>
      <c r="B75" s="106"/>
      <c r="C75" s="107"/>
      <c r="D75" s="107"/>
      <c r="E75" s="107"/>
      <c r="F75" s="94"/>
      <c r="G75" s="94"/>
      <c r="H75" s="107"/>
      <c r="I75" s="107"/>
      <c r="J75" s="47">
        <v>1</v>
      </c>
      <c r="K75" s="47">
        <v>2</v>
      </c>
      <c r="L75" s="47">
        <v>3</v>
      </c>
      <c r="M75" s="47">
        <v>4</v>
      </c>
    </row>
    <row r="76" spans="1:13" ht="15.6" x14ac:dyDescent="0.3">
      <c r="A76" s="155" t="s">
        <v>40</v>
      </c>
      <c r="B76" s="155"/>
      <c r="C76" s="10" t="s">
        <v>93</v>
      </c>
      <c r="D76" s="22">
        <v>7</v>
      </c>
      <c r="E76" s="22">
        <v>64</v>
      </c>
      <c r="F76" s="75">
        <v>15</v>
      </c>
      <c r="G76" s="22">
        <v>32</v>
      </c>
      <c r="H76" s="75">
        <f>F76+G76</f>
        <v>47</v>
      </c>
      <c r="I76" s="75">
        <f>J76+K76+L76+M76</f>
        <v>27</v>
      </c>
      <c r="J76" s="22">
        <v>9</v>
      </c>
      <c r="K76" s="75">
        <v>5</v>
      </c>
      <c r="L76" s="75">
        <v>5</v>
      </c>
      <c r="M76" s="75">
        <v>8</v>
      </c>
    </row>
    <row r="77" spans="1:13" ht="15.6" x14ac:dyDescent="0.3">
      <c r="A77" s="110" t="s">
        <v>94</v>
      </c>
      <c r="B77" s="110"/>
      <c r="C77" s="10" t="s">
        <v>95</v>
      </c>
      <c r="D77" s="22">
        <v>26</v>
      </c>
      <c r="E77" s="22">
        <v>36</v>
      </c>
      <c r="F77" s="22">
        <v>13</v>
      </c>
      <c r="G77" s="22">
        <v>18</v>
      </c>
      <c r="H77" s="75">
        <f t="shared" ref="H77:H112" si="7">F77+G77</f>
        <v>31</v>
      </c>
      <c r="I77" s="75">
        <f t="shared" ref="I77:M77" si="8">I78+I79+I80+I81+I82+I83</f>
        <v>35</v>
      </c>
      <c r="J77" s="75">
        <f t="shared" si="8"/>
        <v>9</v>
      </c>
      <c r="K77" s="75">
        <f t="shared" si="8"/>
        <v>8</v>
      </c>
      <c r="L77" s="75">
        <f t="shared" si="8"/>
        <v>9</v>
      </c>
      <c r="M77" s="75">
        <f t="shared" si="8"/>
        <v>9</v>
      </c>
    </row>
    <row r="78" spans="1:13" ht="15.6" x14ac:dyDescent="0.3">
      <c r="A78" s="110" t="s">
        <v>96</v>
      </c>
      <c r="B78" s="110"/>
      <c r="C78" s="10" t="s">
        <v>97</v>
      </c>
      <c r="D78" s="22">
        <v>0</v>
      </c>
      <c r="E78" s="22">
        <v>0</v>
      </c>
      <c r="F78" s="22">
        <v>0</v>
      </c>
      <c r="G78" s="22">
        <v>0</v>
      </c>
      <c r="H78" s="22">
        <f t="shared" si="7"/>
        <v>0</v>
      </c>
      <c r="I78" s="22">
        <v>0</v>
      </c>
      <c r="J78" s="22">
        <v>0</v>
      </c>
      <c r="K78" s="22">
        <v>0</v>
      </c>
      <c r="L78" s="22">
        <v>0</v>
      </c>
      <c r="M78" s="23">
        <v>0</v>
      </c>
    </row>
    <row r="79" spans="1:13" ht="15.6" x14ac:dyDescent="0.3">
      <c r="A79" s="155" t="s">
        <v>98</v>
      </c>
      <c r="B79" s="155"/>
      <c r="C79" s="10" t="s">
        <v>99</v>
      </c>
      <c r="D79" s="22">
        <v>5</v>
      </c>
      <c r="E79" s="22">
        <v>8</v>
      </c>
      <c r="F79" s="75">
        <v>2</v>
      </c>
      <c r="G79" s="22">
        <v>4</v>
      </c>
      <c r="H79" s="75">
        <f t="shared" si="7"/>
        <v>6</v>
      </c>
      <c r="I79" s="75">
        <f>J79+K79+L79+M79</f>
        <v>7</v>
      </c>
      <c r="J79" s="75">
        <v>2</v>
      </c>
      <c r="K79" s="75">
        <v>1</v>
      </c>
      <c r="L79" s="75">
        <v>2</v>
      </c>
      <c r="M79" s="83">
        <v>2</v>
      </c>
    </row>
    <row r="80" spans="1:13" ht="15.6" x14ac:dyDescent="0.3">
      <c r="A80" s="155" t="s">
        <v>100</v>
      </c>
      <c r="B80" s="155"/>
      <c r="C80" s="10" t="s">
        <v>101</v>
      </c>
      <c r="D80" s="22">
        <v>0</v>
      </c>
      <c r="E80" s="22">
        <v>8</v>
      </c>
      <c r="F80" s="75">
        <v>0</v>
      </c>
      <c r="G80" s="22">
        <v>4</v>
      </c>
      <c r="H80" s="75">
        <f t="shared" si="7"/>
        <v>4</v>
      </c>
      <c r="I80" s="75">
        <f>J80+K80+L80+M80</f>
        <v>4</v>
      </c>
      <c r="J80" s="75">
        <v>1</v>
      </c>
      <c r="K80" s="75">
        <v>1</v>
      </c>
      <c r="L80" s="75">
        <v>1</v>
      </c>
      <c r="M80" s="75">
        <v>1</v>
      </c>
    </row>
    <row r="81" spans="1:13" ht="15.6" x14ac:dyDescent="0.3">
      <c r="A81" s="110" t="s">
        <v>102</v>
      </c>
      <c r="B81" s="110"/>
      <c r="C81" s="10" t="s">
        <v>103</v>
      </c>
      <c r="D81" s="22">
        <v>0</v>
      </c>
      <c r="E81" s="22">
        <v>0</v>
      </c>
      <c r="F81" s="22">
        <v>0</v>
      </c>
      <c r="G81" s="22">
        <v>0</v>
      </c>
      <c r="H81" s="22">
        <f t="shared" si="7"/>
        <v>0</v>
      </c>
      <c r="I81" s="22">
        <v>0</v>
      </c>
      <c r="J81" s="22">
        <v>0</v>
      </c>
      <c r="K81" s="22">
        <v>0</v>
      </c>
      <c r="L81" s="22">
        <v>0</v>
      </c>
      <c r="M81" s="22">
        <v>0</v>
      </c>
    </row>
    <row r="82" spans="1:13" ht="15.6" x14ac:dyDescent="0.3">
      <c r="A82" s="157" t="s">
        <v>104</v>
      </c>
      <c r="B82" s="157"/>
      <c r="C82" s="10" t="s">
        <v>105</v>
      </c>
      <c r="D82" s="22">
        <v>20</v>
      </c>
      <c r="E82" s="22">
        <v>20</v>
      </c>
      <c r="F82" s="37">
        <v>11</v>
      </c>
      <c r="G82" s="22">
        <v>10</v>
      </c>
      <c r="H82" s="37">
        <f t="shared" si="7"/>
        <v>21</v>
      </c>
      <c r="I82" s="37">
        <f>J82+K82+L82+M82</f>
        <v>24</v>
      </c>
      <c r="J82" s="22">
        <v>6</v>
      </c>
      <c r="K82" s="37">
        <v>6</v>
      </c>
      <c r="L82" s="37">
        <v>6</v>
      </c>
      <c r="M82" s="37">
        <v>6</v>
      </c>
    </row>
    <row r="83" spans="1:13" ht="15.6" x14ac:dyDescent="0.3">
      <c r="A83" s="155" t="s">
        <v>106</v>
      </c>
      <c r="B83" s="155"/>
      <c r="C83" s="10" t="s">
        <v>107</v>
      </c>
      <c r="D83" s="22">
        <v>1</v>
      </c>
      <c r="E83" s="22">
        <v>0</v>
      </c>
      <c r="F83" s="75">
        <v>0</v>
      </c>
      <c r="G83" s="22">
        <v>0</v>
      </c>
      <c r="H83" s="75">
        <f t="shared" si="7"/>
        <v>0</v>
      </c>
      <c r="I83" s="75">
        <v>0</v>
      </c>
      <c r="J83" s="75">
        <v>0</v>
      </c>
      <c r="K83" s="75">
        <v>0</v>
      </c>
      <c r="L83" s="75">
        <v>0</v>
      </c>
      <c r="M83" s="83">
        <v>0</v>
      </c>
    </row>
    <row r="84" spans="1:13" ht="15.6" x14ac:dyDescent="0.3">
      <c r="A84" s="111" t="s">
        <v>108</v>
      </c>
      <c r="B84" s="111"/>
      <c r="C84" s="8">
        <v>9</v>
      </c>
      <c r="D84" s="71">
        <v>0</v>
      </c>
      <c r="E84" s="71">
        <v>0</v>
      </c>
      <c r="F84" s="71">
        <v>0</v>
      </c>
      <c r="G84" s="54">
        <v>0</v>
      </c>
      <c r="H84" s="54">
        <f t="shared" si="7"/>
        <v>0</v>
      </c>
      <c r="I84" s="71">
        <f t="shared" ref="I84:M84" si="9">SUM(I85:I91)</f>
        <v>0</v>
      </c>
      <c r="J84" s="71">
        <f t="shared" si="9"/>
        <v>0</v>
      </c>
      <c r="K84" s="71">
        <f t="shared" si="9"/>
        <v>0</v>
      </c>
      <c r="L84" s="71">
        <f t="shared" si="9"/>
        <v>0</v>
      </c>
      <c r="M84" s="71">
        <f t="shared" si="9"/>
        <v>0</v>
      </c>
    </row>
    <row r="85" spans="1:13" ht="15.6" x14ac:dyDescent="0.3">
      <c r="A85" s="110" t="s">
        <v>109</v>
      </c>
      <c r="B85" s="110"/>
      <c r="C85" s="10" t="s">
        <v>110</v>
      </c>
      <c r="D85" s="22">
        <v>0</v>
      </c>
      <c r="E85" s="22">
        <v>0</v>
      </c>
      <c r="F85" s="22">
        <v>0</v>
      </c>
      <c r="G85" s="22">
        <v>0</v>
      </c>
      <c r="H85" s="22">
        <f t="shared" si="7"/>
        <v>0</v>
      </c>
      <c r="I85" s="22">
        <v>0</v>
      </c>
      <c r="J85" s="22">
        <v>0</v>
      </c>
      <c r="K85" s="22">
        <v>0</v>
      </c>
      <c r="L85" s="22">
        <v>0</v>
      </c>
      <c r="M85" s="22">
        <v>0</v>
      </c>
    </row>
    <row r="86" spans="1:13" ht="15.6" x14ac:dyDescent="0.3">
      <c r="A86" s="110" t="s">
        <v>111</v>
      </c>
      <c r="B86" s="110"/>
      <c r="C86" s="10" t="s">
        <v>112</v>
      </c>
      <c r="D86" s="22">
        <v>0</v>
      </c>
      <c r="E86" s="22">
        <v>0</v>
      </c>
      <c r="F86" s="22">
        <v>0</v>
      </c>
      <c r="G86" s="22">
        <v>0</v>
      </c>
      <c r="H86" s="22">
        <f t="shared" si="7"/>
        <v>0</v>
      </c>
      <c r="I86" s="22">
        <v>0</v>
      </c>
      <c r="J86" s="22">
        <v>0</v>
      </c>
      <c r="K86" s="22">
        <v>0</v>
      </c>
      <c r="L86" s="22">
        <v>0</v>
      </c>
      <c r="M86" s="22">
        <v>0</v>
      </c>
    </row>
    <row r="87" spans="1:13" ht="15.6" x14ac:dyDescent="0.3">
      <c r="A87" s="110" t="s">
        <v>42</v>
      </c>
      <c r="B87" s="110"/>
      <c r="C87" s="10" t="s">
        <v>113</v>
      </c>
      <c r="D87" s="22">
        <v>0</v>
      </c>
      <c r="E87" s="22">
        <v>0</v>
      </c>
      <c r="F87" s="22">
        <v>0</v>
      </c>
      <c r="G87" s="22">
        <v>0</v>
      </c>
      <c r="H87" s="22">
        <f t="shared" si="7"/>
        <v>0</v>
      </c>
      <c r="I87" s="22">
        <v>0</v>
      </c>
      <c r="J87" s="22">
        <v>0</v>
      </c>
      <c r="K87" s="22">
        <v>0</v>
      </c>
      <c r="L87" s="22">
        <v>0</v>
      </c>
      <c r="M87" s="22">
        <v>0</v>
      </c>
    </row>
    <row r="88" spans="1:13" ht="15.6" x14ac:dyDescent="0.3">
      <c r="A88" s="110" t="s">
        <v>114</v>
      </c>
      <c r="B88" s="110"/>
      <c r="C88" s="10" t="s">
        <v>115</v>
      </c>
      <c r="D88" s="22">
        <v>0</v>
      </c>
      <c r="E88" s="22">
        <v>0</v>
      </c>
      <c r="F88" s="22">
        <v>0</v>
      </c>
      <c r="G88" s="22">
        <v>0</v>
      </c>
      <c r="H88" s="22">
        <f t="shared" si="7"/>
        <v>0</v>
      </c>
      <c r="I88" s="22">
        <v>0</v>
      </c>
      <c r="J88" s="22">
        <v>0</v>
      </c>
      <c r="K88" s="22">
        <v>0</v>
      </c>
      <c r="L88" s="22">
        <v>0</v>
      </c>
      <c r="M88" s="22">
        <v>0</v>
      </c>
    </row>
    <row r="89" spans="1:13" ht="15.6" x14ac:dyDescent="0.3">
      <c r="A89" s="110" t="s">
        <v>116</v>
      </c>
      <c r="B89" s="110"/>
      <c r="C89" s="10" t="s">
        <v>117</v>
      </c>
      <c r="D89" s="22">
        <v>0</v>
      </c>
      <c r="E89" s="22">
        <v>0</v>
      </c>
      <c r="F89" s="22">
        <v>0</v>
      </c>
      <c r="G89" s="22">
        <v>0</v>
      </c>
      <c r="H89" s="22">
        <f t="shared" si="7"/>
        <v>0</v>
      </c>
      <c r="I89" s="22">
        <v>0</v>
      </c>
      <c r="J89" s="22">
        <v>0</v>
      </c>
      <c r="K89" s="22">
        <v>0</v>
      </c>
      <c r="L89" s="22">
        <v>0</v>
      </c>
      <c r="M89" s="22">
        <v>0</v>
      </c>
    </row>
    <row r="90" spans="1:13" ht="15.6" x14ac:dyDescent="0.3">
      <c r="A90" s="110" t="s">
        <v>118</v>
      </c>
      <c r="B90" s="110"/>
      <c r="C90" s="10" t="s">
        <v>119</v>
      </c>
      <c r="D90" s="22">
        <v>0</v>
      </c>
      <c r="E90" s="22">
        <v>0</v>
      </c>
      <c r="F90" s="22">
        <v>0</v>
      </c>
      <c r="G90" s="22">
        <v>0</v>
      </c>
      <c r="H90" s="22">
        <f t="shared" si="7"/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</row>
    <row r="91" spans="1:13" ht="15.6" x14ac:dyDescent="0.3">
      <c r="A91" s="110" t="s">
        <v>120</v>
      </c>
      <c r="B91" s="110"/>
      <c r="C91" s="10" t="s">
        <v>121</v>
      </c>
      <c r="D91" s="22">
        <v>0</v>
      </c>
      <c r="E91" s="22">
        <v>0</v>
      </c>
      <c r="F91" s="22">
        <v>0</v>
      </c>
      <c r="G91" s="22">
        <v>0</v>
      </c>
      <c r="H91" s="22">
        <f t="shared" si="7"/>
        <v>0</v>
      </c>
      <c r="I91" s="22">
        <v>0</v>
      </c>
      <c r="J91" s="22">
        <v>0</v>
      </c>
      <c r="K91" s="22">
        <v>0</v>
      </c>
      <c r="L91" s="22">
        <v>0</v>
      </c>
      <c r="M91" s="22">
        <v>0</v>
      </c>
    </row>
    <row r="92" spans="1:13" ht="15.6" x14ac:dyDescent="0.3">
      <c r="A92" s="134" t="s">
        <v>122</v>
      </c>
      <c r="B92" s="134"/>
      <c r="C92" s="8">
        <v>10</v>
      </c>
      <c r="D92" s="24">
        <v>0</v>
      </c>
      <c r="E92" s="24">
        <v>0</v>
      </c>
      <c r="F92" s="24">
        <v>0</v>
      </c>
      <c r="G92" s="22">
        <v>0</v>
      </c>
      <c r="H92" s="22">
        <f t="shared" si="7"/>
        <v>0</v>
      </c>
      <c r="I92" s="24">
        <f t="shared" ref="I92:M92" si="10">SUM(I93:I97)</f>
        <v>0</v>
      </c>
      <c r="J92" s="24">
        <f t="shared" si="10"/>
        <v>0</v>
      </c>
      <c r="K92" s="24">
        <f t="shared" si="10"/>
        <v>0</v>
      </c>
      <c r="L92" s="24">
        <f t="shared" si="10"/>
        <v>0</v>
      </c>
      <c r="M92" s="24">
        <f t="shared" si="10"/>
        <v>0</v>
      </c>
    </row>
    <row r="93" spans="1:13" ht="15.6" x14ac:dyDescent="0.3">
      <c r="A93" s="125" t="s">
        <v>123</v>
      </c>
      <c r="B93" s="125"/>
      <c r="C93" s="10" t="s">
        <v>124</v>
      </c>
      <c r="D93" s="22">
        <v>0</v>
      </c>
      <c r="E93" s="22">
        <v>0</v>
      </c>
      <c r="F93" s="22">
        <v>0</v>
      </c>
      <c r="G93" s="22">
        <v>0</v>
      </c>
      <c r="H93" s="22">
        <f t="shared" si="7"/>
        <v>0</v>
      </c>
      <c r="I93" s="22">
        <v>0</v>
      </c>
      <c r="J93" s="22">
        <v>0</v>
      </c>
      <c r="K93" s="22">
        <v>0</v>
      </c>
      <c r="L93" s="22">
        <v>0</v>
      </c>
      <c r="M93" s="22">
        <v>0</v>
      </c>
    </row>
    <row r="94" spans="1:13" ht="15.6" x14ac:dyDescent="0.3">
      <c r="A94" s="125" t="s">
        <v>125</v>
      </c>
      <c r="B94" s="125"/>
      <c r="C94" s="10" t="s">
        <v>126</v>
      </c>
      <c r="D94" s="22">
        <v>0</v>
      </c>
      <c r="E94" s="22">
        <v>0</v>
      </c>
      <c r="F94" s="22">
        <v>0</v>
      </c>
      <c r="G94" s="22">
        <v>0</v>
      </c>
      <c r="H94" s="22">
        <f t="shared" si="7"/>
        <v>0</v>
      </c>
      <c r="I94" s="22">
        <v>0</v>
      </c>
      <c r="J94" s="22">
        <v>0</v>
      </c>
      <c r="K94" s="22">
        <v>0</v>
      </c>
      <c r="L94" s="22">
        <v>0</v>
      </c>
      <c r="M94" s="22">
        <v>0</v>
      </c>
    </row>
    <row r="95" spans="1:13" ht="15.6" x14ac:dyDescent="0.3">
      <c r="A95" s="125" t="s">
        <v>127</v>
      </c>
      <c r="B95" s="125"/>
      <c r="C95" s="10" t="s">
        <v>128</v>
      </c>
      <c r="D95" s="22">
        <v>0</v>
      </c>
      <c r="E95" s="22">
        <v>0</v>
      </c>
      <c r="F95" s="22">
        <v>0</v>
      </c>
      <c r="G95" s="22">
        <v>0</v>
      </c>
      <c r="H95" s="22">
        <f t="shared" si="7"/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</row>
    <row r="96" spans="1:13" ht="15.6" x14ac:dyDescent="0.3">
      <c r="A96" s="125" t="s">
        <v>129</v>
      </c>
      <c r="B96" s="125"/>
      <c r="C96" s="10" t="s">
        <v>130</v>
      </c>
      <c r="D96" s="22">
        <v>0</v>
      </c>
      <c r="E96" s="22">
        <v>0</v>
      </c>
      <c r="F96" s="22">
        <v>0</v>
      </c>
      <c r="G96" s="22">
        <v>0</v>
      </c>
      <c r="H96" s="22">
        <f t="shared" si="7"/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</row>
    <row r="97" spans="1:13" ht="15.6" x14ac:dyDescent="0.3">
      <c r="A97" s="125" t="s">
        <v>131</v>
      </c>
      <c r="B97" s="125"/>
      <c r="C97" s="10" t="s">
        <v>132</v>
      </c>
      <c r="D97" s="22">
        <v>0</v>
      </c>
      <c r="E97" s="22">
        <v>0</v>
      </c>
      <c r="F97" s="22">
        <v>0</v>
      </c>
      <c r="G97" s="22">
        <v>0</v>
      </c>
      <c r="H97" s="22">
        <f t="shared" si="7"/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</row>
    <row r="98" spans="1:13" ht="30" customHeight="1" x14ac:dyDescent="0.3">
      <c r="A98" s="150" t="s">
        <v>133</v>
      </c>
      <c r="B98" s="150"/>
      <c r="C98" s="11" t="s">
        <v>134</v>
      </c>
      <c r="D98" s="22">
        <v>0</v>
      </c>
      <c r="E98" s="22">
        <v>0</v>
      </c>
      <c r="F98" s="22">
        <v>0</v>
      </c>
      <c r="G98" s="22">
        <v>0</v>
      </c>
      <c r="H98" s="22">
        <f t="shared" si="7"/>
        <v>0</v>
      </c>
      <c r="I98" s="22">
        <v>0</v>
      </c>
      <c r="J98" s="22">
        <v>0</v>
      </c>
      <c r="K98" s="22">
        <v>0</v>
      </c>
      <c r="L98" s="22">
        <v>0</v>
      </c>
      <c r="M98" s="22">
        <v>0</v>
      </c>
    </row>
    <row r="99" spans="1:13" ht="15.6" x14ac:dyDescent="0.3">
      <c r="A99" s="125" t="s">
        <v>135</v>
      </c>
      <c r="B99" s="125"/>
      <c r="C99" s="10" t="s">
        <v>136</v>
      </c>
      <c r="D99" s="22">
        <v>0</v>
      </c>
      <c r="E99" s="22">
        <v>0</v>
      </c>
      <c r="F99" s="22">
        <v>0</v>
      </c>
      <c r="G99" s="22">
        <v>0</v>
      </c>
      <c r="H99" s="22">
        <f t="shared" si="7"/>
        <v>0</v>
      </c>
      <c r="I99" s="22">
        <v>0</v>
      </c>
      <c r="J99" s="22">
        <v>0</v>
      </c>
      <c r="K99" s="22">
        <v>0</v>
      </c>
      <c r="L99" s="22">
        <v>0</v>
      </c>
      <c r="M99" s="22">
        <v>0</v>
      </c>
    </row>
    <row r="100" spans="1:13" ht="15.6" x14ac:dyDescent="0.3">
      <c r="A100" s="150" t="s">
        <v>137</v>
      </c>
      <c r="B100" s="150"/>
      <c r="C100" s="11" t="s">
        <v>138</v>
      </c>
      <c r="D100" s="22">
        <v>0</v>
      </c>
      <c r="E100" s="22">
        <v>0</v>
      </c>
      <c r="F100" s="22">
        <v>0</v>
      </c>
      <c r="G100" s="22">
        <v>0</v>
      </c>
      <c r="H100" s="22">
        <f t="shared" si="7"/>
        <v>0</v>
      </c>
      <c r="I100" s="22">
        <v>0</v>
      </c>
      <c r="J100" s="22">
        <v>0</v>
      </c>
      <c r="K100" s="22">
        <v>0</v>
      </c>
      <c r="L100" s="22">
        <v>0</v>
      </c>
      <c r="M100" s="22">
        <v>0</v>
      </c>
    </row>
    <row r="101" spans="1:13" ht="15.6" x14ac:dyDescent="0.3">
      <c r="A101" s="125" t="s">
        <v>135</v>
      </c>
      <c r="B101" s="125"/>
      <c r="C101" s="10" t="s">
        <v>139</v>
      </c>
      <c r="D101" s="22">
        <v>0</v>
      </c>
      <c r="E101" s="22">
        <v>0</v>
      </c>
      <c r="F101" s="22">
        <v>0</v>
      </c>
      <c r="G101" s="22">
        <v>0</v>
      </c>
      <c r="H101" s="22">
        <f t="shared" si="7"/>
        <v>0</v>
      </c>
      <c r="I101" s="22">
        <v>0</v>
      </c>
      <c r="J101" s="22">
        <v>0</v>
      </c>
      <c r="K101" s="22">
        <v>0</v>
      </c>
      <c r="L101" s="22">
        <v>0</v>
      </c>
      <c r="M101" s="22">
        <v>0</v>
      </c>
    </row>
    <row r="102" spans="1:13" ht="15.6" x14ac:dyDescent="0.3">
      <c r="A102" s="111" t="s">
        <v>140</v>
      </c>
      <c r="B102" s="111"/>
      <c r="C102" s="8">
        <v>13</v>
      </c>
      <c r="D102" s="71">
        <v>34</v>
      </c>
      <c r="E102" s="71">
        <v>84</v>
      </c>
      <c r="F102" s="71">
        <v>9</v>
      </c>
      <c r="G102" s="54">
        <v>49</v>
      </c>
      <c r="H102" s="54">
        <f>F102+G102</f>
        <v>58</v>
      </c>
      <c r="I102" s="71">
        <f t="shared" ref="I102:M102" si="11">SUM(I103:I111)</f>
        <v>86</v>
      </c>
      <c r="J102" s="71">
        <f t="shared" si="11"/>
        <v>27</v>
      </c>
      <c r="K102" s="71">
        <f t="shared" si="11"/>
        <v>9</v>
      </c>
      <c r="L102" s="71">
        <f t="shared" si="11"/>
        <v>41</v>
      </c>
      <c r="M102" s="71">
        <f t="shared" si="11"/>
        <v>9</v>
      </c>
    </row>
    <row r="103" spans="1:13" ht="15.6" x14ac:dyDescent="0.3">
      <c r="A103" s="125" t="s">
        <v>141</v>
      </c>
      <c r="B103" s="125"/>
      <c r="C103" s="10" t="s">
        <v>142</v>
      </c>
      <c r="D103" s="22">
        <v>0</v>
      </c>
      <c r="E103" s="22">
        <v>0</v>
      </c>
      <c r="F103" s="22">
        <v>0</v>
      </c>
      <c r="G103" s="22">
        <v>0</v>
      </c>
      <c r="H103" s="22">
        <f t="shared" si="7"/>
        <v>0</v>
      </c>
      <c r="I103" s="22">
        <v>0</v>
      </c>
      <c r="J103" s="22">
        <v>0</v>
      </c>
      <c r="K103" s="22">
        <v>0</v>
      </c>
      <c r="L103" s="22">
        <v>0</v>
      </c>
      <c r="M103" s="22">
        <v>0</v>
      </c>
    </row>
    <row r="104" spans="1:13" ht="15.6" x14ac:dyDescent="0.3">
      <c r="A104" s="125" t="s">
        <v>143</v>
      </c>
      <c r="B104" s="125"/>
      <c r="C104" s="10" t="s">
        <v>144</v>
      </c>
      <c r="D104" s="22">
        <v>0</v>
      </c>
      <c r="E104" s="22">
        <v>0</v>
      </c>
      <c r="F104" s="22">
        <v>0</v>
      </c>
      <c r="G104" s="22">
        <v>0</v>
      </c>
      <c r="H104" s="22">
        <f t="shared" si="7"/>
        <v>0</v>
      </c>
      <c r="I104" s="22">
        <v>0</v>
      </c>
      <c r="J104" s="22">
        <v>0</v>
      </c>
      <c r="K104" s="22">
        <v>0</v>
      </c>
      <c r="L104" s="22">
        <v>0</v>
      </c>
      <c r="M104" s="22">
        <v>0</v>
      </c>
    </row>
    <row r="105" spans="1:13" ht="15.6" x14ac:dyDescent="0.3">
      <c r="A105" s="125" t="s">
        <v>145</v>
      </c>
      <c r="B105" s="125"/>
      <c r="C105" s="10" t="s">
        <v>146</v>
      </c>
      <c r="D105" s="22">
        <v>0</v>
      </c>
      <c r="E105" s="22">
        <v>0</v>
      </c>
      <c r="F105" s="22">
        <v>0</v>
      </c>
      <c r="G105" s="22">
        <v>0</v>
      </c>
      <c r="H105" s="22">
        <f t="shared" si="7"/>
        <v>0</v>
      </c>
      <c r="I105" s="22">
        <v>0</v>
      </c>
      <c r="J105" s="22">
        <v>0</v>
      </c>
      <c r="K105" s="22">
        <v>0</v>
      </c>
      <c r="L105" s="22">
        <v>0</v>
      </c>
      <c r="M105" s="22">
        <v>0</v>
      </c>
    </row>
    <row r="106" spans="1:13" ht="15.6" x14ac:dyDescent="0.3">
      <c r="A106" s="125" t="s">
        <v>147</v>
      </c>
      <c r="B106" s="125"/>
      <c r="C106" s="10" t="s">
        <v>148</v>
      </c>
      <c r="D106" s="22">
        <v>0</v>
      </c>
      <c r="E106" s="22">
        <v>0</v>
      </c>
      <c r="F106" s="22">
        <v>0</v>
      </c>
      <c r="G106" s="22">
        <v>0</v>
      </c>
      <c r="H106" s="22">
        <f t="shared" si="7"/>
        <v>0</v>
      </c>
      <c r="I106" s="22">
        <v>0</v>
      </c>
      <c r="J106" s="22">
        <v>0</v>
      </c>
      <c r="K106" s="22">
        <v>0</v>
      </c>
      <c r="L106" s="22">
        <v>0</v>
      </c>
      <c r="M106" s="22">
        <v>0</v>
      </c>
    </row>
    <row r="107" spans="1:13" ht="15.6" x14ac:dyDescent="0.3">
      <c r="A107" s="125" t="s">
        <v>149</v>
      </c>
      <c r="B107" s="125"/>
      <c r="C107" s="10" t="s">
        <v>150</v>
      </c>
      <c r="D107" s="22">
        <v>0</v>
      </c>
      <c r="E107" s="22">
        <v>0</v>
      </c>
      <c r="F107" s="22">
        <v>0</v>
      </c>
      <c r="G107" s="22">
        <v>0</v>
      </c>
      <c r="H107" s="22">
        <f t="shared" si="7"/>
        <v>0</v>
      </c>
      <c r="I107" s="22">
        <v>0</v>
      </c>
      <c r="J107" s="22">
        <v>0</v>
      </c>
      <c r="K107" s="22">
        <v>0</v>
      </c>
      <c r="L107" s="22">
        <v>0</v>
      </c>
      <c r="M107" s="22">
        <v>0</v>
      </c>
    </row>
    <row r="108" spans="1:13" ht="15.6" x14ac:dyDescent="0.3">
      <c r="A108" s="125" t="s">
        <v>151</v>
      </c>
      <c r="B108" s="125"/>
      <c r="C108" s="10" t="s">
        <v>152</v>
      </c>
      <c r="D108" s="22">
        <v>0</v>
      </c>
      <c r="E108" s="22">
        <v>0</v>
      </c>
      <c r="F108" s="22">
        <v>0</v>
      </c>
      <c r="G108" s="22">
        <v>0</v>
      </c>
      <c r="H108" s="22">
        <f t="shared" si="7"/>
        <v>0</v>
      </c>
      <c r="I108" s="22">
        <v>0</v>
      </c>
      <c r="J108" s="22">
        <v>0</v>
      </c>
      <c r="K108" s="22">
        <v>0</v>
      </c>
      <c r="L108" s="22">
        <v>0</v>
      </c>
      <c r="M108" s="22">
        <v>0</v>
      </c>
    </row>
    <row r="109" spans="1:13" ht="15.6" x14ac:dyDescent="0.3">
      <c r="A109" s="125" t="s">
        <v>153</v>
      </c>
      <c r="B109" s="125"/>
      <c r="C109" s="10" t="s">
        <v>154</v>
      </c>
      <c r="D109" s="22">
        <v>0</v>
      </c>
      <c r="E109" s="22">
        <v>0</v>
      </c>
      <c r="F109" s="22">
        <v>0</v>
      </c>
      <c r="G109" s="22">
        <v>0</v>
      </c>
      <c r="H109" s="22">
        <f t="shared" si="7"/>
        <v>0</v>
      </c>
      <c r="I109" s="22">
        <v>0</v>
      </c>
      <c r="J109" s="22">
        <v>0</v>
      </c>
      <c r="K109" s="22">
        <v>0</v>
      </c>
      <c r="L109" s="22">
        <v>0</v>
      </c>
      <c r="M109" s="22">
        <v>0</v>
      </c>
    </row>
    <row r="110" spans="1:13" ht="15.6" x14ac:dyDescent="0.3">
      <c r="A110" s="125" t="s">
        <v>155</v>
      </c>
      <c r="B110" s="125"/>
      <c r="C110" s="10" t="s">
        <v>156</v>
      </c>
      <c r="D110" s="22">
        <v>0</v>
      </c>
      <c r="E110" s="22">
        <v>0</v>
      </c>
      <c r="F110" s="22">
        <v>0</v>
      </c>
      <c r="G110" s="22">
        <v>0</v>
      </c>
      <c r="H110" s="22">
        <f t="shared" si="7"/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</row>
    <row r="111" spans="1:13" ht="15.6" x14ac:dyDescent="0.3">
      <c r="A111" s="158" t="s">
        <v>157</v>
      </c>
      <c r="B111" s="158"/>
      <c r="C111" s="10" t="s">
        <v>158</v>
      </c>
      <c r="D111" s="22">
        <v>34</v>
      </c>
      <c r="E111" s="22">
        <v>84</v>
      </c>
      <c r="F111" s="54">
        <v>9</v>
      </c>
      <c r="G111" s="22">
        <v>49</v>
      </c>
      <c r="H111" s="54">
        <f t="shared" si="7"/>
        <v>58</v>
      </c>
      <c r="I111" s="54">
        <v>86</v>
      </c>
      <c r="J111" s="54">
        <v>27</v>
      </c>
      <c r="K111" s="54">
        <v>9</v>
      </c>
      <c r="L111" s="54">
        <v>41</v>
      </c>
      <c r="M111" s="54">
        <v>9</v>
      </c>
    </row>
    <row r="112" spans="1:13" ht="3" customHeight="1" x14ac:dyDescent="0.3">
      <c r="A112" s="43"/>
      <c r="B112" s="43"/>
      <c r="C112" s="39"/>
      <c r="D112" s="40"/>
      <c r="E112" s="40"/>
      <c r="F112" s="40"/>
      <c r="G112" s="40"/>
      <c r="H112" s="22">
        <f t="shared" si="7"/>
        <v>0</v>
      </c>
      <c r="I112" s="40"/>
      <c r="J112" s="40"/>
      <c r="K112" s="40"/>
      <c r="L112" s="40"/>
      <c r="M112" s="41"/>
    </row>
    <row r="113" spans="1:13" ht="30" customHeight="1" x14ac:dyDescent="0.3">
      <c r="A113" s="103" t="s">
        <v>432</v>
      </c>
      <c r="B113" s="104"/>
      <c r="C113" s="107" t="s">
        <v>20</v>
      </c>
      <c r="D113" s="107" t="s">
        <v>450</v>
      </c>
      <c r="E113" s="107" t="s">
        <v>448</v>
      </c>
      <c r="F113" s="94" t="s">
        <v>451</v>
      </c>
      <c r="G113" s="94" t="s">
        <v>452</v>
      </c>
      <c r="H113" s="107" t="s">
        <v>453</v>
      </c>
      <c r="I113" s="107" t="s">
        <v>454</v>
      </c>
      <c r="J113" s="108" t="s">
        <v>21</v>
      </c>
      <c r="K113" s="108"/>
      <c r="L113" s="108"/>
      <c r="M113" s="108"/>
    </row>
    <row r="114" spans="1:13" ht="30" customHeight="1" x14ac:dyDescent="0.3">
      <c r="A114" s="105"/>
      <c r="B114" s="106"/>
      <c r="C114" s="107"/>
      <c r="D114" s="107"/>
      <c r="E114" s="107"/>
      <c r="F114" s="94"/>
      <c r="G114" s="94"/>
      <c r="H114" s="107"/>
      <c r="I114" s="107"/>
      <c r="J114" s="47">
        <v>1</v>
      </c>
      <c r="K114" s="47">
        <v>2</v>
      </c>
      <c r="L114" s="47">
        <v>3</v>
      </c>
      <c r="M114" s="47">
        <v>4</v>
      </c>
    </row>
    <row r="115" spans="1:13" ht="15.6" x14ac:dyDescent="0.3">
      <c r="A115" s="159" t="s">
        <v>159</v>
      </c>
      <c r="B115" s="159"/>
      <c r="C115" s="11" t="s">
        <v>160</v>
      </c>
      <c r="D115" s="73">
        <v>146</v>
      </c>
      <c r="E115" s="73">
        <v>51.839999999999918</v>
      </c>
      <c r="F115" s="24">
        <v>44</v>
      </c>
      <c r="G115" s="24">
        <v>20</v>
      </c>
      <c r="H115" s="73">
        <f>H49+H92+H98+H100-H50-H84-H102</f>
        <v>64</v>
      </c>
      <c r="I115" s="73">
        <f>I49+I92+I98+I100-I50-I84-I102</f>
        <v>135</v>
      </c>
      <c r="J115" s="73">
        <f t="shared" ref="J115:M115" si="12">J49+J92+J98+J100-J50-J84-J102</f>
        <v>-1</v>
      </c>
      <c r="K115" s="73">
        <f t="shared" si="12"/>
        <v>29</v>
      </c>
      <c r="L115" s="73">
        <f t="shared" si="12"/>
        <v>24</v>
      </c>
      <c r="M115" s="73">
        <f t="shared" si="12"/>
        <v>83</v>
      </c>
    </row>
    <row r="116" spans="1:13" ht="15.6" x14ac:dyDescent="0.3">
      <c r="A116" s="150" t="s">
        <v>161</v>
      </c>
      <c r="B116" s="150"/>
      <c r="C116" s="11" t="s">
        <v>162</v>
      </c>
      <c r="D116" s="22">
        <v>0</v>
      </c>
      <c r="E116" s="22">
        <v>0</v>
      </c>
      <c r="F116" s="22">
        <v>0</v>
      </c>
      <c r="G116" s="24">
        <v>0</v>
      </c>
      <c r="H116" s="24">
        <v>0</v>
      </c>
      <c r="I116" s="22">
        <v>0</v>
      </c>
      <c r="J116" s="22">
        <v>0</v>
      </c>
      <c r="K116" s="22">
        <v>0</v>
      </c>
      <c r="L116" s="22">
        <v>0</v>
      </c>
      <c r="M116" s="23">
        <v>0</v>
      </c>
    </row>
    <row r="117" spans="1:13" ht="15.6" x14ac:dyDescent="0.3">
      <c r="A117" s="134" t="s">
        <v>163</v>
      </c>
      <c r="B117" s="134"/>
      <c r="C117" s="8">
        <v>16</v>
      </c>
      <c r="D117" s="22">
        <v>0</v>
      </c>
      <c r="E117" s="22">
        <v>0</v>
      </c>
      <c r="F117" s="22">
        <v>0</v>
      </c>
      <c r="G117" s="24">
        <v>0</v>
      </c>
      <c r="H117" s="24">
        <v>0</v>
      </c>
      <c r="I117" s="22">
        <v>0</v>
      </c>
      <c r="J117" s="22">
        <v>0</v>
      </c>
      <c r="K117" s="22">
        <v>0</v>
      </c>
      <c r="L117" s="22">
        <v>0</v>
      </c>
      <c r="M117" s="23">
        <v>0</v>
      </c>
    </row>
    <row r="118" spans="1:13" ht="15.6" x14ac:dyDescent="0.3">
      <c r="A118" s="150" t="s">
        <v>164</v>
      </c>
      <c r="B118" s="150"/>
      <c r="C118" s="11" t="s">
        <v>165</v>
      </c>
      <c r="D118" s="22">
        <v>0</v>
      </c>
      <c r="E118" s="22">
        <v>0</v>
      </c>
      <c r="F118" s="22">
        <v>0</v>
      </c>
      <c r="G118" s="24">
        <v>0</v>
      </c>
      <c r="H118" s="24">
        <v>0</v>
      </c>
      <c r="I118" s="22">
        <v>0</v>
      </c>
      <c r="J118" s="22">
        <v>0</v>
      </c>
      <c r="K118" s="22">
        <v>0</v>
      </c>
      <c r="L118" s="22">
        <v>0</v>
      </c>
      <c r="M118" s="23">
        <v>0</v>
      </c>
    </row>
    <row r="119" spans="1:13" ht="15.6" x14ac:dyDescent="0.3">
      <c r="A119" s="150" t="s">
        <v>166</v>
      </c>
      <c r="B119" s="150"/>
      <c r="C119" s="11" t="s">
        <v>167</v>
      </c>
      <c r="D119" s="22">
        <v>0</v>
      </c>
      <c r="E119" s="22">
        <v>0</v>
      </c>
      <c r="F119" s="22">
        <v>0</v>
      </c>
      <c r="G119" s="24">
        <v>0</v>
      </c>
      <c r="H119" s="24">
        <v>0</v>
      </c>
      <c r="I119" s="22">
        <v>0</v>
      </c>
      <c r="J119" s="22">
        <v>0</v>
      </c>
      <c r="K119" s="22">
        <v>0</v>
      </c>
      <c r="L119" s="22">
        <v>0</v>
      </c>
      <c r="M119" s="23">
        <v>0</v>
      </c>
    </row>
    <row r="120" spans="1:13" ht="15.6" x14ac:dyDescent="0.3">
      <c r="A120" s="159" t="s">
        <v>168</v>
      </c>
      <c r="B120" s="159"/>
      <c r="C120" s="11" t="s">
        <v>169</v>
      </c>
      <c r="D120" s="73">
        <v>14</v>
      </c>
      <c r="E120" s="73">
        <v>12</v>
      </c>
      <c r="F120" s="24">
        <v>6</v>
      </c>
      <c r="G120" s="24">
        <v>6</v>
      </c>
      <c r="H120" s="73">
        <f>SUM(H121:H123)</f>
        <v>12</v>
      </c>
      <c r="I120" s="73">
        <f>SUM(I121:I123)</f>
        <v>12</v>
      </c>
      <c r="J120" s="73">
        <f t="shared" ref="J120:M120" si="13">SUM(J121:J123)</f>
        <v>3</v>
      </c>
      <c r="K120" s="73">
        <f t="shared" si="13"/>
        <v>3</v>
      </c>
      <c r="L120" s="73">
        <f t="shared" si="13"/>
        <v>3</v>
      </c>
      <c r="M120" s="73">
        <f t="shared" si="13"/>
        <v>3</v>
      </c>
    </row>
    <row r="121" spans="1:13" ht="15.6" x14ac:dyDescent="0.3">
      <c r="A121" s="125" t="s">
        <v>170</v>
      </c>
      <c r="B121" s="125"/>
      <c r="C121" s="10" t="s">
        <v>171</v>
      </c>
      <c r="D121" s="22">
        <v>14</v>
      </c>
      <c r="E121" s="22">
        <v>12</v>
      </c>
      <c r="F121" s="22">
        <v>6</v>
      </c>
      <c r="G121" s="24">
        <v>6</v>
      </c>
      <c r="H121" s="24">
        <f>F121+G121</f>
        <v>12</v>
      </c>
      <c r="I121" s="22">
        <f>J121+K121+L121+M121</f>
        <v>12</v>
      </c>
      <c r="J121" s="22">
        <v>3</v>
      </c>
      <c r="K121" s="22">
        <v>3</v>
      </c>
      <c r="L121" s="22">
        <v>3</v>
      </c>
      <c r="M121" s="23">
        <v>3</v>
      </c>
    </row>
    <row r="122" spans="1:13" ht="15.6" x14ac:dyDescent="0.3">
      <c r="A122" s="125" t="s">
        <v>172</v>
      </c>
      <c r="B122" s="125"/>
      <c r="C122" s="10" t="s">
        <v>173</v>
      </c>
      <c r="D122" s="22">
        <v>0</v>
      </c>
      <c r="E122" s="22">
        <v>0</v>
      </c>
      <c r="F122" s="22">
        <v>0</v>
      </c>
      <c r="G122" s="24">
        <v>0</v>
      </c>
      <c r="H122" s="24">
        <v>0</v>
      </c>
      <c r="I122" s="22">
        <v>0</v>
      </c>
      <c r="J122" s="22">
        <v>0</v>
      </c>
      <c r="K122" s="22">
        <v>0</v>
      </c>
      <c r="L122" s="22">
        <v>0</v>
      </c>
      <c r="M122" s="23">
        <v>0</v>
      </c>
    </row>
    <row r="123" spans="1:13" ht="15.6" x14ac:dyDescent="0.3">
      <c r="A123" s="125" t="s">
        <v>174</v>
      </c>
      <c r="B123" s="125"/>
      <c r="C123" s="10" t="s">
        <v>175</v>
      </c>
      <c r="D123" s="22">
        <v>0</v>
      </c>
      <c r="E123" s="22">
        <v>0</v>
      </c>
      <c r="F123" s="22">
        <v>0</v>
      </c>
      <c r="G123" s="24">
        <v>0</v>
      </c>
      <c r="H123" s="24">
        <v>0</v>
      </c>
      <c r="I123" s="22">
        <v>0</v>
      </c>
      <c r="J123" s="22">
        <v>0</v>
      </c>
      <c r="K123" s="22">
        <v>0</v>
      </c>
      <c r="L123" s="22">
        <v>0</v>
      </c>
      <c r="M123" s="23">
        <v>0</v>
      </c>
    </row>
    <row r="124" spans="1:13" ht="15.6" x14ac:dyDescent="0.3">
      <c r="A124" s="150" t="s">
        <v>176</v>
      </c>
      <c r="B124" s="150"/>
      <c r="C124" s="11" t="s">
        <v>177</v>
      </c>
      <c r="D124" s="24">
        <v>13</v>
      </c>
      <c r="E124" s="24">
        <v>0</v>
      </c>
      <c r="F124" s="24">
        <v>0</v>
      </c>
      <c r="G124" s="24">
        <v>0</v>
      </c>
      <c r="H124" s="24">
        <f t="shared" ref="H124:M124" si="14">SUM(H125:H128)</f>
        <v>0</v>
      </c>
      <c r="I124" s="24">
        <f t="shared" si="14"/>
        <v>0</v>
      </c>
      <c r="J124" s="24">
        <f t="shared" si="14"/>
        <v>0</v>
      </c>
      <c r="K124" s="24">
        <f t="shared" si="14"/>
        <v>0</v>
      </c>
      <c r="L124" s="24">
        <f t="shared" si="14"/>
        <v>0</v>
      </c>
      <c r="M124" s="24">
        <f t="shared" si="14"/>
        <v>0</v>
      </c>
    </row>
    <row r="125" spans="1:13" ht="15.6" x14ac:dyDescent="0.3">
      <c r="A125" s="125" t="s">
        <v>178</v>
      </c>
      <c r="B125" s="125"/>
      <c r="C125" s="10" t="s">
        <v>179</v>
      </c>
      <c r="D125" s="22">
        <v>1</v>
      </c>
      <c r="E125" s="22">
        <v>0</v>
      </c>
      <c r="F125" s="22">
        <v>0</v>
      </c>
      <c r="G125" s="24">
        <v>0</v>
      </c>
      <c r="H125" s="24">
        <v>0</v>
      </c>
      <c r="I125" s="22">
        <v>0</v>
      </c>
      <c r="J125" s="22">
        <v>0</v>
      </c>
      <c r="K125" s="22">
        <v>0</v>
      </c>
      <c r="L125" s="22">
        <v>0</v>
      </c>
      <c r="M125" s="23">
        <v>0</v>
      </c>
    </row>
    <row r="126" spans="1:13" ht="15.6" x14ac:dyDescent="0.3">
      <c r="A126" s="125" t="s">
        <v>180</v>
      </c>
      <c r="B126" s="125"/>
      <c r="C126" s="10" t="s">
        <v>181</v>
      </c>
      <c r="D126" s="22">
        <v>0</v>
      </c>
      <c r="E126" s="22">
        <v>0</v>
      </c>
      <c r="F126" s="22">
        <v>0</v>
      </c>
      <c r="G126" s="24">
        <v>0</v>
      </c>
      <c r="H126" s="24">
        <v>0</v>
      </c>
      <c r="I126" s="22">
        <v>0</v>
      </c>
      <c r="J126" s="22">
        <v>0</v>
      </c>
      <c r="K126" s="22">
        <v>0</v>
      </c>
      <c r="L126" s="22">
        <v>0</v>
      </c>
      <c r="M126" s="23">
        <v>0</v>
      </c>
    </row>
    <row r="127" spans="1:13" ht="15.6" x14ac:dyDescent="0.3">
      <c r="A127" s="125" t="s">
        <v>182</v>
      </c>
      <c r="B127" s="125"/>
      <c r="C127" s="10" t="s">
        <v>183</v>
      </c>
      <c r="D127" s="22">
        <v>0</v>
      </c>
      <c r="E127" s="22">
        <v>0</v>
      </c>
      <c r="F127" s="22">
        <v>0</v>
      </c>
      <c r="G127" s="24">
        <v>0</v>
      </c>
      <c r="H127" s="24">
        <v>0</v>
      </c>
      <c r="I127" s="22">
        <v>0</v>
      </c>
      <c r="J127" s="22">
        <v>0</v>
      </c>
      <c r="K127" s="22">
        <v>0</v>
      </c>
      <c r="L127" s="22">
        <v>0</v>
      </c>
      <c r="M127" s="23">
        <v>0</v>
      </c>
    </row>
    <row r="128" spans="1:13" ht="15.6" x14ac:dyDescent="0.3">
      <c r="A128" s="125" t="s">
        <v>50</v>
      </c>
      <c r="B128" s="125"/>
      <c r="C128" s="10" t="s">
        <v>184</v>
      </c>
      <c r="D128" s="22">
        <v>12</v>
      </c>
      <c r="E128" s="22">
        <v>0</v>
      </c>
      <c r="F128" s="22">
        <v>0</v>
      </c>
      <c r="G128" s="24">
        <v>0</v>
      </c>
      <c r="H128" s="24">
        <v>0</v>
      </c>
      <c r="I128" s="22">
        <v>0</v>
      </c>
      <c r="J128" s="22">
        <v>0</v>
      </c>
      <c r="K128" s="22">
        <v>0</v>
      </c>
      <c r="L128" s="22">
        <v>0</v>
      </c>
      <c r="M128" s="23">
        <v>0</v>
      </c>
    </row>
    <row r="129" spans="1:13" ht="30" customHeight="1" x14ac:dyDescent="0.3">
      <c r="A129" s="159" t="s">
        <v>185</v>
      </c>
      <c r="B129" s="159"/>
      <c r="C129" s="11" t="s">
        <v>186</v>
      </c>
      <c r="D129" s="73">
        <v>147</v>
      </c>
      <c r="E129" s="73">
        <v>63.839999999999918</v>
      </c>
      <c r="F129" s="73">
        <v>50</v>
      </c>
      <c r="G129" s="73">
        <v>26</v>
      </c>
      <c r="H129" s="73">
        <f t="shared" ref="H129:M129" si="15">H115+H116+H118+H120-H117-H119-H124</f>
        <v>76</v>
      </c>
      <c r="I129" s="73">
        <f t="shared" si="15"/>
        <v>147</v>
      </c>
      <c r="J129" s="73">
        <f t="shared" si="15"/>
        <v>2</v>
      </c>
      <c r="K129" s="73">
        <f t="shared" si="15"/>
        <v>32</v>
      </c>
      <c r="L129" s="73">
        <f t="shared" si="15"/>
        <v>27</v>
      </c>
      <c r="M129" s="73">
        <f t="shared" si="15"/>
        <v>86</v>
      </c>
    </row>
    <row r="130" spans="1:13" ht="15.6" x14ac:dyDescent="0.3">
      <c r="A130" s="160" t="s">
        <v>187</v>
      </c>
      <c r="B130" s="160"/>
      <c r="C130" s="11" t="s">
        <v>188</v>
      </c>
      <c r="D130" s="54">
        <v>10</v>
      </c>
      <c r="E130" s="54">
        <v>4.33</v>
      </c>
      <c r="F130" s="54">
        <v>0</v>
      </c>
      <c r="G130" s="71">
        <f>H129*0.18</f>
        <v>13.68</v>
      </c>
      <c r="H130" s="71">
        <f>F130+G130</f>
        <v>13.68</v>
      </c>
      <c r="I130" s="54">
        <v>27</v>
      </c>
      <c r="J130" s="54">
        <v>0</v>
      </c>
      <c r="K130" s="54">
        <v>0</v>
      </c>
      <c r="L130" s="54">
        <v>0</v>
      </c>
      <c r="M130" s="54">
        <v>27</v>
      </c>
    </row>
    <row r="131" spans="1:13" ht="15.6" x14ac:dyDescent="0.3">
      <c r="A131" s="150" t="s">
        <v>189</v>
      </c>
      <c r="B131" s="150"/>
      <c r="C131" s="11" t="s">
        <v>190</v>
      </c>
      <c r="D131" s="22">
        <v>0</v>
      </c>
      <c r="E131" s="22">
        <v>0</v>
      </c>
      <c r="F131" s="22">
        <v>0</v>
      </c>
      <c r="G131" s="24">
        <v>0</v>
      </c>
      <c r="H131" s="24">
        <v>0</v>
      </c>
      <c r="I131" s="22">
        <v>0</v>
      </c>
      <c r="J131" s="22">
        <v>0</v>
      </c>
      <c r="K131" s="22">
        <v>0</v>
      </c>
      <c r="L131" s="22">
        <v>0</v>
      </c>
      <c r="M131" s="23">
        <v>0</v>
      </c>
    </row>
    <row r="132" spans="1:13" ht="15.6" x14ac:dyDescent="0.3">
      <c r="A132" s="125" t="s">
        <v>191</v>
      </c>
      <c r="B132" s="125"/>
      <c r="C132" s="10" t="s">
        <v>192</v>
      </c>
      <c r="D132" s="22">
        <v>0</v>
      </c>
      <c r="E132" s="22">
        <v>0</v>
      </c>
      <c r="F132" s="22">
        <v>0</v>
      </c>
      <c r="G132" s="24">
        <v>0</v>
      </c>
      <c r="H132" s="24">
        <v>0</v>
      </c>
      <c r="I132" s="22">
        <v>0</v>
      </c>
      <c r="J132" s="22">
        <v>0</v>
      </c>
      <c r="K132" s="22">
        <v>0</v>
      </c>
      <c r="L132" s="22">
        <v>0</v>
      </c>
      <c r="M132" s="23">
        <v>0</v>
      </c>
    </row>
    <row r="133" spans="1:13" ht="15.6" x14ac:dyDescent="0.3">
      <c r="A133" s="125" t="s">
        <v>193</v>
      </c>
      <c r="B133" s="125"/>
      <c r="C133" s="10" t="s">
        <v>194</v>
      </c>
      <c r="D133" s="22">
        <v>0</v>
      </c>
      <c r="E133" s="22">
        <v>0</v>
      </c>
      <c r="F133" s="22">
        <v>0</v>
      </c>
      <c r="G133" s="24">
        <v>0</v>
      </c>
      <c r="H133" s="24">
        <v>0</v>
      </c>
      <c r="I133" s="22">
        <v>0</v>
      </c>
      <c r="J133" s="22">
        <v>0</v>
      </c>
      <c r="K133" s="22">
        <v>0</v>
      </c>
      <c r="L133" s="22">
        <v>0</v>
      </c>
      <c r="M133" s="22">
        <v>0</v>
      </c>
    </row>
    <row r="134" spans="1:13" ht="15.6" x14ac:dyDescent="0.3">
      <c r="A134" s="150" t="s">
        <v>195</v>
      </c>
      <c r="B134" s="150"/>
      <c r="C134" s="11" t="s">
        <v>196</v>
      </c>
      <c r="D134" s="22">
        <v>0</v>
      </c>
      <c r="E134" s="22">
        <v>0</v>
      </c>
      <c r="F134" s="22">
        <v>0</v>
      </c>
      <c r="G134" s="24">
        <v>0</v>
      </c>
      <c r="H134" s="24">
        <v>0</v>
      </c>
      <c r="I134" s="22">
        <v>0</v>
      </c>
      <c r="J134" s="22">
        <v>0</v>
      </c>
      <c r="K134" s="22">
        <v>0</v>
      </c>
      <c r="L134" s="22">
        <v>0</v>
      </c>
      <c r="M134" s="22">
        <v>0</v>
      </c>
    </row>
    <row r="135" spans="1:13" ht="15.6" x14ac:dyDescent="0.3">
      <c r="A135" s="150" t="s">
        <v>197</v>
      </c>
      <c r="B135" s="150"/>
      <c r="C135" s="11" t="s">
        <v>198</v>
      </c>
      <c r="D135" s="22">
        <v>0</v>
      </c>
      <c r="E135" s="22">
        <v>0</v>
      </c>
      <c r="F135" s="22">
        <v>0</v>
      </c>
      <c r="G135" s="24">
        <v>0</v>
      </c>
      <c r="H135" s="24">
        <v>0</v>
      </c>
      <c r="I135" s="22">
        <v>0</v>
      </c>
      <c r="J135" s="22">
        <v>0</v>
      </c>
      <c r="K135" s="22">
        <v>0</v>
      </c>
      <c r="L135" s="22">
        <v>0</v>
      </c>
      <c r="M135" s="23">
        <v>0</v>
      </c>
    </row>
    <row r="136" spans="1:13" ht="15.6" x14ac:dyDescent="0.3">
      <c r="A136" s="150" t="s">
        <v>199</v>
      </c>
      <c r="B136" s="150"/>
      <c r="C136" s="11" t="s">
        <v>200</v>
      </c>
      <c r="D136" s="22">
        <v>0</v>
      </c>
      <c r="E136" s="22">
        <v>0</v>
      </c>
      <c r="F136" s="22">
        <v>0</v>
      </c>
      <c r="G136" s="24">
        <v>0</v>
      </c>
      <c r="H136" s="24">
        <v>0</v>
      </c>
      <c r="I136" s="22">
        <v>0</v>
      </c>
      <c r="J136" s="22">
        <v>0</v>
      </c>
      <c r="K136" s="22">
        <v>0</v>
      </c>
      <c r="L136" s="22">
        <v>0</v>
      </c>
      <c r="M136" s="22">
        <v>0</v>
      </c>
    </row>
    <row r="137" spans="1:13" ht="15.6" x14ac:dyDescent="0.3">
      <c r="A137" s="159" t="s">
        <v>201</v>
      </c>
      <c r="B137" s="159"/>
      <c r="C137" s="11" t="s">
        <v>202</v>
      </c>
      <c r="D137" s="73">
        <v>137</v>
      </c>
      <c r="E137" s="73">
        <v>59.50999999999992</v>
      </c>
      <c r="F137" s="73">
        <v>50</v>
      </c>
      <c r="G137" s="73">
        <f>G129-G130</f>
        <v>12.32</v>
      </c>
      <c r="H137" s="73">
        <f>H129+H132+H134-H130-H133-H135-H136</f>
        <v>62.32</v>
      </c>
      <c r="I137" s="73">
        <f>I129+I132+I134-I130-I133-I135-I136</f>
        <v>120</v>
      </c>
      <c r="J137" s="73">
        <f t="shared" ref="J137:M137" si="16">J129+J132+J134-J130-J133-J135-J136</f>
        <v>2</v>
      </c>
      <c r="K137" s="73">
        <f t="shared" si="16"/>
        <v>32</v>
      </c>
      <c r="L137" s="73">
        <f t="shared" si="16"/>
        <v>27</v>
      </c>
      <c r="M137" s="73">
        <f t="shared" si="16"/>
        <v>59</v>
      </c>
    </row>
    <row r="138" spans="1:13" ht="15.6" x14ac:dyDescent="0.3">
      <c r="A138" s="125" t="s">
        <v>203</v>
      </c>
      <c r="B138" s="125"/>
      <c r="C138" s="10" t="s">
        <v>204</v>
      </c>
      <c r="D138" s="22">
        <v>137</v>
      </c>
      <c r="E138" s="22">
        <v>59.50999999999992</v>
      </c>
      <c r="F138" s="22">
        <v>50</v>
      </c>
      <c r="G138" s="24">
        <f>G137</f>
        <v>12.32</v>
      </c>
      <c r="H138" s="22">
        <f>IF(H137&gt;=0,H137,0)</f>
        <v>62.32</v>
      </c>
      <c r="I138" s="22">
        <f>IF(I137&gt;=0,I137,0)</f>
        <v>120</v>
      </c>
      <c r="J138" s="22">
        <f t="shared" ref="J138:M138" si="17">IF(J137&gt;=0,J137,0)</f>
        <v>2</v>
      </c>
      <c r="K138" s="22">
        <f t="shared" si="17"/>
        <v>32</v>
      </c>
      <c r="L138" s="22">
        <f t="shared" si="17"/>
        <v>27</v>
      </c>
      <c r="M138" s="22">
        <f t="shared" si="17"/>
        <v>59</v>
      </c>
    </row>
    <row r="139" spans="1:13" ht="15.6" x14ac:dyDescent="0.3">
      <c r="A139" s="125" t="s">
        <v>205</v>
      </c>
      <c r="B139" s="125"/>
      <c r="C139" s="10" t="s">
        <v>206</v>
      </c>
      <c r="D139" s="22">
        <v>0</v>
      </c>
      <c r="E139" s="22">
        <v>0</v>
      </c>
      <c r="F139" s="22">
        <v>0</v>
      </c>
      <c r="G139" s="24">
        <v>0</v>
      </c>
      <c r="H139" s="22">
        <f t="shared" ref="H139:M139" si="18">IF(H137&lt;0,H137,0)</f>
        <v>0</v>
      </c>
      <c r="I139" s="22">
        <f t="shared" si="18"/>
        <v>0</v>
      </c>
      <c r="J139" s="22">
        <f t="shared" si="18"/>
        <v>0</v>
      </c>
      <c r="K139" s="22">
        <f t="shared" si="18"/>
        <v>0</v>
      </c>
      <c r="L139" s="22">
        <f t="shared" si="18"/>
        <v>0</v>
      </c>
      <c r="M139" s="22">
        <f t="shared" si="18"/>
        <v>0</v>
      </c>
    </row>
    <row r="140" spans="1:13" ht="15.6" x14ac:dyDescent="0.3">
      <c r="A140" s="159" t="s">
        <v>207</v>
      </c>
      <c r="B140" s="159"/>
      <c r="C140" s="8">
        <v>28</v>
      </c>
      <c r="D140" s="73">
        <v>1767</v>
      </c>
      <c r="E140" s="73">
        <v>1702.84</v>
      </c>
      <c r="F140" s="73">
        <v>820</v>
      </c>
      <c r="G140" s="73">
        <f>851+6</f>
        <v>857</v>
      </c>
      <c r="H140" s="73">
        <f t="shared" ref="H140:M140" si="19">H30+H92+H98+H100+H116+H118+H120+H132+H134</f>
        <v>1677</v>
      </c>
      <c r="I140" s="73">
        <f>I30+I92+I98+I100+I116+I118+I120+I132+I134</f>
        <v>2005</v>
      </c>
      <c r="J140" s="73">
        <f t="shared" si="19"/>
        <v>453</v>
      </c>
      <c r="K140" s="73">
        <f t="shared" si="19"/>
        <v>503</v>
      </c>
      <c r="L140" s="73">
        <f t="shared" si="19"/>
        <v>503</v>
      </c>
      <c r="M140" s="73">
        <f t="shared" si="19"/>
        <v>546</v>
      </c>
    </row>
    <row r="141" spans="1:13" ht="15.6" x14ac:dyDescent="0.3">
      <c r="A141" s="160" t="s">
        <v>208</v>
      </c>
      <c r="B141" s="160"/>
      <c r="C141" s="8">
        <v>29</v>
      </c>
      <c r="D141" s="71">
        <v>1630</v>
      </c>
      <c r="E141" s="71">
        <v>1643.33</v>
      </c>
      <c r="F141" s="71">
        <v>770</v>
      </c>
      <c r="G141" s="71">
        <f>G39+G50+G102++G130</f>
        <v>844.68</v>
      </c>
      <c r="H141" s="71">
        <f>H39+H50+H84+H102+H117+H119+H124+H130+H133+H135+H136</f>
        <v>1614.68</v>
      </c>
      <c r="I141" s="71">
        <f>I39+I50+I84+I102+I117+I119+I124+I130+I133+I135+I136</f>
        <v>1885</v>
      </c>
      <c r="J141" s="71">
        <f t="shared" ref="J141:M141" si="20">J39+J50+J84+J102+J117+J119+J124+J130+J133+J135+J136</f>
        <v>451</v>
      </c>
      <c r="K141" s="71">
        <f t="shared" si="20"/>
        <v>471</v>
      </c>
      <c r="L141" s="71">
        <f t="shared" si="20"/>
        <v>476</v>
      </c>
      <c r="M141" s="71">
        <f t="shared" si="20"/>
        <v>487</v>
      </c>
    </row>
    <row r="142" spans="1:13" ht="15.6" x14ac:dyDescent="0.3">
      <c r="A142" s="116" t="s">
        <v>209</v>
      </c>
      <c r="B142" s="117"/>
      <c r="C142" s="117"/>
      <c r="D142" s="117"/>
      <c r="E142" s="117"/>
      <c r="F142" s="117"/>
      <c r="G142" s="117"/>
      <c r="H142" s="117"/>
      <c r="I142" s="117"/>
      <c r="J142" s="117"/>
      <c r="K142" s="117"/>
      <c r="L142" s="117"/>
      <c r="M142" s="118"/>
    </row>
    <row r="143" spans="1:13" ht="15.6" x14ac:dyDescent="0.3">
      <c r="A143" s="115" t="s">
        <v>210</v>
      </c>
      <c r="B143" s="115"/>
      <c r="C143" s="8">
        <v>30</v>
      </c>
      <c r="D143" s="84">
        <v>68</v>
      </c>
      <c r="E143" s="84">
        <v>30</v>
      </c>
      <c r="F143" s="26">
        <v>25</v>
      </c>
      <c r="G143" s="26">
        <f>G144</f>
        <v>6.16</v>
      </c>
      <c r="H143" s="84">
        <f>H144</f>
        <v>31.16</v>
      </c>
      <c r="I143" s="84">
        <f t="shared" ref="I143:M143" si="21">I144</f>
        <v>60</v>
      </c>
      <c r="J143" s="84">
        <f>J144</f>
        <v>1</v>
      </c>
      <c r="K143" s="84">
        <f>K144</f>
        <v>16</v>
      </c>
      <c r="L143" s="84">
        <f t="shared" si="21"/>
        <v>13.5</v>
      </c>
      <c r="M143" s="84">
        <f t="shared" si="21"/>
        <v>29.5</v>
      </c>
    </row>
    <row r="144" spans="1:13" ht="15.6" x14ac:dyDescent="0.3">
      <c r="A144" s="109" t="s">
        <v>211</v>
      </c>
      <c r="B144" s="109"/>
      <c r="C144" s="10" t="s">
        <v>212</v>
      </c>
      <c r="D144" s="22">
        <v>68</v>
      </c>
      <c r="E144" s="22">
        <v>30</v>
      </c>
      <c r="F144" s="22">
        <v>25</v>
      </c>
      <c r="G144" s="26">
        <f>G137*0.5</f>
        <v>6.16</v>
      </c>
      <c r="H144" s="78">
        <f>H137*0.5</f>
        <v>31.16</v>
      </c>
      <c r="I144" s="78">
        <f>J144+K144+L144+M144</f>
        <v>60</v>
      </c>
      <c r="J144" s="78">
        <f>J138/2</f>
        <v>1</v>
      </c>
      <c r="K144" s="78">
        <f t="shared" ref="K144:M144" si="22">K138/2</f>
        <v>16</v>
      </c>
      <c r="L144" s="78">
        <f t="shared" si="22"/>
        <v>13.5</v>
      </c>
      <c r="M144" s="78">
        <f t="shared" si="22"/>
        <v>29.5</v>
      </c>
    </row>
    <row r="145" spans="1:13" ht="30" customHeight="1" x14ac:dyDescent="0.3">
      <c r="A145" s="134" t="s">
        <v>213</v>
      </c>
      <c r="B145" s="134"/>
      <c r="C145" s="8">
        <v>31</v>
      </c>
      <c r="D145" s="24">
        <v>109</v>
      </c>
      <c r="E145" s="24">
        <v>131</v>
      </c>
      <c r="F145" s="24">
        <v>178</v>
      </c>
      <c r="G145" s="26"/>
      <c r="H145" s="24">
        <f>F145</f>
        <v>178</v>
      </c>
      <c r="I145" s="24">
        <f>H154</f>
        <v>194.16</v>
      </c>
      <c r="J145" s="24">
        <f>I145</f>
        <v>194.16</v>
      </c>
      <c r="K145" s="24">
        <f>J154</f>
        <v>195.16</v>
      </c>
      <c r="L145" s="24">
        <f>K154</f>
        <v>211.16</v>
      </c>
      <c r="M145" s="25">
        <f>L154</f>
        <v>224.66</v>
      </c>
    </row>
    <row r="146" spans="1:13" ht="15.6" x14ac:dyDescent="0.3">
      <c r="A146" s="115" t="s">
        <v>214</v>
      </c>
      <c r="B146" s="115"/>
      <c r="C146" s="8">
        <v>32</v>
      </c>
      <c r="D146" s="86">
        <v>0</v>
      </c>
      <c r="E146" s="86">
        <v>15</v>
      </c>
      <c r="F146" s="24">
        <v>0</v>
      </c>
      <c r="G146" s="26">
        <v>0</v>
      </c>
      <c r="H146" s="86">
        <f>SUM(H147:H150)</f>
        <v>15</v>
      </c>
      <c r="I146" s="86">
        <f t="shared" ref="I146:M146" si="23">SUM(I147:I150)</f>
        <v>0</v>
      </c>
      <c r="J146" s="86">
        <f t="shared" si="23"/>
        <v>0</v>
      </c>
      <c r="K146" s="86">
        <f t="shared" si="23"/>
        <v>0</v>
      </c>
      <c r="L146" s="86">
        <f t="shared" si="23"/>
        <v>0</v>
      </c>
      <c r="M146" s="86">
        <f t="shared" si="23"/>
        <v>0</v>
      </c>
    </row>
    <row r="147" spans="1:13" ht="15.6" x14ac:dyDescent="0.3">
      <c r="A147" s="110" t="s">
        <v>215</v>
      </c>
      <c r="B147" s="110"/>
      <c r="C147" s="12" t="s">
        <v>216</v>
      </c>
      <c r="D147" s="22">
        <v>0</v>
      </c>
      <c r="E147" s="22">
        <v>0</v>
      </c>
      <c r="F147" s="22">
        <v>0</v>
      </c>
      <c r="G147" s="26">
        <v>0</v>
      </c>
      <c r="H147" s="22">
        <f>F147+G147</f>
        <v>0</v>
      </c>
      <c r="I147" s="22">
        <v>0</v>
      </c>
      <c r="J147" s="22">
        <v>0</v>
      </c>
      <c r="K147" s="22">
        <v>0</v>
      </c>
      <c r="L147" s="22">
        <v>0</v>
      </c>
      <c r="M147" s="23">
        <v>0</v>
      </c>
    </row>
    <row r="148" spans="1:13" ht="15.6" x14ac:dyDescent="0.3">
      <c r="A148" s="110" t="s">
        <v>217</v>
      </c>
      <c r="B148" s="110"/>
      <c r="C148" s="12" t="s">
        <v>218</v>
      </c>
      <c r="D148" s="22">
        <v>0</v>
      </c>
      <c r="E148" s="22">
        <v>0</v>
      </c>
      <c r="F148" s="22">
        <v>0</v>
      </c>
      <c r="G148" s="26">
        <v>0</v>
      </c>
      <c r="H148" s="22">
        <f t="shared" ref="H148:H150" si="24">F148+G148</f>
        <v>0</v>
      </c>
      <c r="I148" s="22">
        <v>0</v>
      </c>
      <c r="J148" s="22">
        <v>0</v>
      </c>
      <c r="K148" s="22">
        <v>0</v>
      </c>
      <c r="L148" s="22">
        <v>0</v>
      </c>
      <c r="M148" s="23">
        <v>0</v>
      </c>
    </row>
    <row r="149" spans="1:13" ht="15.6" x14ac:dyDescent="0.3">
      <c r="A149" s="110" t="s">
        <v>219</v>
      </c>
      <c r="B149" s="110"/>
      <c r="C149" s="12" t="s">
        <v>220</v>
      </c>
      <c r="D149" s="22">
        <v>0</v>
      </c>
      <c r="E149" s="22">
        <v>0</v>
      </c>
      <c r="F149" s="22">
        <v>0</v>
      </c>
      <c r="G149" s="26">
        <v>0</v>
      </c>
      <c r="H149" s="22">
        <f t="shared" si="24"/>
        <v>0</v>
      </c>
      <c r="I149" s="22">
        <v>0</v>
      </c>
      <c r="J149" s="22">
        <v>0</v>
      </c>
      <c r="K149" s="22">
        <v>0</v>
      </c>
      <c r="L149" s="22">
        <v>0</v>
      </c>
      <c r="M149" s="23">
        <v>0</v>
      </c>
    </row>
    <row r="150" spans="1:13" ht="15.6" x14ac:dyDescent="0.3">
      <c r="A150" s="109" t="s">
        <v>221</v>
      </c>
      <c r="B150" s="109"/>
      <c r="C150" s="12" t="s">
        <v>222</v>
      </c>
      <c r="D150" s="22">
        <v>0</v>
      </c>
      <c r="E150" s="22">
        <v>15</v>
      </c>
      <c r="F150" s="22">
        <v>15</v>
      </c>
      <c r="G150" s="26">
        <v>0</v>
      </c>
      <c r="H150" s="78">
        <f t="shared" si="24"/>
        <v>15</v>
      </c>
      <c r="I150" s="78">
        <f>J150+K150+L150+M150</f>
        <v>0</v>
      </c>
      <c r="J150" s="78">
        <v>0</v>
      </c>
      <c r="K150" s="78">
        <v>0</v>
      </c>
      <c r="L150" s="78">
        <v>0</v>
      </c>
      <c r="M150" s="85">
        <v>0</v>
      </c>
    </row>
    <row r="151" spans="1:13" ht="3" customHeight="1" x14ac:dyDescent="0.3">
      <c r="A151" s="42"/>
      <c r="B151" s="42"/>
      <c r="C151" s="44"/>
      <c r="D151" s="40">
        <v>178</v>
      </c>
      <c r="E151" s="40"/>
      <c r="F151" s="40"/>
      <c r="G151" s="40"/>
      <c r="H151" s="40"/>
      <c r="I151" s="40"/>
      <c r="J151" s="40"/>
      <c r="K151" s="40"/>
      <c r="L151" s="40"/>
      <c r="M151" s="41"/>
    </row>
    <row r="152" spans="1:13" ht="30" customHeight="1" x14ac:dyDescent="0.3">
      <c r="A152" s="103" t="s">
        <v>432</v>
      </c>
      <c r="B152" s="104"/>
      <c r="C152" s="107" t="s">
        <v>20</v>
      </c>
      <c r="D152" s="107" t="s">
        <v>450</v>
      </c>
      <c r="E152" s="107" t="s">
        <v>448</v>
      </c>
      <c r="F152" s="94" t="s">
        <v>451</v>
      </c>
      <c r="G152" s="94" t="s">
        <v>452</v>
      </c>
      <c r="H152" s="107" t="s">
        <v>453</v>
      </c>
      <c r="I152" s="107" t="s">
        <v>454</v>
      </c>
      <c r="J152" s="108" t="s">
        <v>21</v>
      </c>
      <c r="K152" s="108"/>
      <c r="L152" s="108"/>
      <c r="M152" s="108"/>
    </row>
    <row r="153" spans="1:13" ht="30" customHeight="1" x14ac:dyDescent="0.3">
      <c r="A153" s="105"/>
      <c r="B153" s="106"/>
      <c r="C153" s="107"/>
      <c r="D153" s="107"/>
      <c r="E153" s="107"/>
      <c r="F153" s="94"/>
      <c r="G153" s="94"/>
      <c r="H153" s="107"/>
      <c r="I153" s="107"/>
      <c r="J153" s="47">
        <v>1</v>
      </c>
      <c r="K153" s="47">
        <v>2</v>
      </c>
      <c r="L153" s="47">
        <v>3</v>
      </c>
      <c r="M153" s="47">
        <v>4</v>
      </c>
    </row>
    <row r="154" spans="1:13" ht="30" customHeight="1" x14ac:dyDescent="0.3">
      <c r="A154" s="149" t="s">
        <v>223</v>
      </c>
      <c r="B154" s="149"/>
      <c r="C154" s="8">
        <v>33</v>
      </c>
      <c r="D154" s="73">
        <f>D145+D137-D143-D146</f>
        <v>178</v>
      </c>
      <c r="E154" s="73">
        <f t="shared" ref="E154:L154" si="25">E145+E137-E143-E146</f>
        <v>145.50999999999993</v>
      </c>
      <c r="F154" s="24">
        <v>188</v>
      </c>
      <c r="G154" s="24"/>
      <c r="H154" s="73">
        <f>H145+H137-H143-H146</f>
        <v>194.16</v>
      </c>
      <c r="I154" s="73">
        <f t="shared" si="25"/>
        <v>254.15999999999997</v>
      </c>
      <c r="J154" s="73">
        <f>J145+J137-J143-J146</f>
        <v>195.16</v>
      </c>
      <c r="K154" s="73">
        <f>K145+K137-K143-K146</f>
        <v>211.16</v>
      </c>
      <c r="L154" s="73">
        <f t="shared" si="25"/>
        <v>224.66</v>
      </c>
      <c r="M154" s="73">
        <f>M145+M137-M143-M146</f>
        <v>254.15999999999997</v>
      </c>
    </row>
    <row r="155" spans="1:13" ht="15.6" x14ac:dyDescent="0.3">
      <c r="A155" s="116" t="s">
        <v>224</v>
      </c>
      <c r="B155" s="117"/>
      <c r="C155" s="117"/>
      <c r="D155" s="117"/>
      <c r="E155" s="117"/>
      <c r="F155" s="117"/>
      <c r="G155" s="117"/>
      <c r="H155" s="117"/>
      <c r="I155" s="117"/>
      <c r="J155" s="117"/>
      <c r="K155" s="117"/>
      <c r="L155" s="117"/>
      <c r="M155" s="118"/>
    </row>
    <row r="156" spans="1:13" ht="30" customHeight="1" x14ac:dyDescent="0.3">
      <c r="A156" s="115" t="s">
        <v>225</v>
      </c>
      <c r="B156" s="115"/>
      <c r="C156" s="8">
        <v>34</v>
      </c>
      <c r="D156" s="86">
        <v>302</v>
      </c>
      <c r="E156" s="86">
        <v>317.53000000000003</v>
      </c>
      <c r="F156" s="24">
        <v>199</v>
      </c>
      <c r="G156" s="24">
        <f>G157+G158</f>
        <v>164.40000000000003</v>
      </c>
      <c r="H156" s="86">
        <f>F156+G156</f>
        <v>363.40000000000003</v>
      </c>
      <c r="I156" s="86">
        <f>SUM(I157:I162)</f>
        <v>363.00799999999998</v>
      </c>
      <c r="J156" s="86">
        <f t="shared" ref="J156" si="26">SUM(J157:J162)</f>
        <v>82.962000000000003</v>
      </c>
      <c r="K156" s="86">
        <f>SUM(K157:K162)-0.18</f>
        <v>88.376000000000005</v>
      </c>
      <c r="L156" s="86">
        <f>SUM(L157:L162)+0.34</f>
        <v>98.22</v>
      </c>
      <c r="M156" s="86">
        <f>SUM(M157:M162)</f>
        <v>93.61</v>
      </c>
    </row>
    <row r="157" spans="1:13" ht="15.6" x14ac:dyDescent="0.3">
      <c r="A157" s="110" t="s">
        <v>226</v>
      </c>
      <c r="B157" s="110"/>
      <c r="C157" s="12" t="s">
        <v>227</v>
      </c>
      <c r="D157" s="22">
        <v>4</v>
      </c>
      <c r="E157" s="22">
        <v>4.33</v>
      </c>
      <c r="F157" s="22">
        <v>14</v>
      </c>
      <c r="G157" s="22">
        <f>3+2</f>
        <v>5</v>
      </c>
      <c r="H157" s="24">
        <f t="shared" ref="H157:H176" si="27">F157+G157</f>
        <v>19</v>
      </c>
      <c r="I157" s="22">
        <f>J157+K157+L157+M157</f>
        <v>9.01</v>
      </c>
      <c r="J157" s="22">
        <f>1+J165*0.18</f>
        <v>3.34</v>
      </c>
      <c r="K157" s="22">
        <f>K165*0.18</f>
        <v>0.18</v>
      </c>
      <c r="L157" s="22">
        <f t="shared" ref="L157" si="28">L165*0.18</f>
        <v>2.88</v>
      </c>
      <c r="M157" s="22">
        <f>M165*0.18+0.18</f>
        <v>2.61</v>
      </c>
    </row>
    <row r="158" spans="1:13" ht="30" customHeight="1" x14ac:dyDescent="0.3">
      <c r="A158" s="110" t="s">
        <v>228</v>
      </c>
      <c r="B158" s="110"/>
      <c r="C158" s="12" t="s">
        <v>229</v>
      </c>
      <c r="D158" s="22">
        <v>298</v>
      </c>
      <c r="E158" s="22">
        <v>314.20000000000005</v>
      </c>
      <c r="F158" s="22">
        <v>185</v>
      </c>
      <c r="G158" s="22">
        <v>159.40000000000003</v>
      </c>
      <c r="H158" s="24">
        <f t="shared" si="27"/>
        <v>344.40000000000003</v>
      </c>
      <c r="I158" s="22">
        <f>J158+K158+L158+M158</f>
        <v>353.99799999999999</v>
      </c>
      <c r="J158" s="22">
        <f>(J30-J58-J69-J72-J76-J82-J205)*0.2+0.17</f>
        <v>79.622</v>
      </c>
      <c r="K158" s="22">
        <f t="shared" ref="K158:M158" si="29">(K30-K58-K69-K72-K76-K82-K205)*0.2</f>
        <v>88.376000000000005</v>
      </c>
      <c r="L158" s="22">
        <f t="shared" si="29"/>
        <v>95</v>
      </c>
      <c r="M158" s="22">
        <f t="shared" si="29"/>
        <v>91</v>
      </c>
    </row>
    <row r="159" spans="1:13" ht="15.6" x14ac:dyDescent="0.3">
      <c r="A159" s="110" t="s">
        <v>230</v>
      </c>
      <c r="B159" s="110"/>
      <c r="C159" s="12" t="s">
        <v>231</v>
      </c>
      <c r="D159" s="27">
        <v>0</v>
      </c>
      <c r="E159" s="27">
        <v>0</v>
      </c>
      <c r="F159" s="27">
        <v>0</v>
      </c>
      <c r="G159" s="22">
        <v>0</v>
      </c>
      <c r="H159" s="24">
        <f t="shared" si="27"/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</row>
    <row r="160" spans="1:13" ht="15.6" x14ac:dyDescent="0.3">
      <c r="A160" s="110" t="s">
        <v>232</v>
      </c>
      <c r="B160" s="110"/>
      <c r="C160" s="12" t="s">
        <v>233</v>
      </c>
      <c r="D160" s="22">
        <v>0</v>
      </c>
      <c r="E160" s="22">
        <v>0</v>
      </c>
      <c r="F160" s="22">
        <v>0</v>
      </c>
      <c r="G160" s="22">
        <v>0</v>
      </c>
      <c r="H160" s="24">
        <f t="shared" si="27"/>
        <v>0</v>
      </c>
      <c r="I160" s="22">
        <v>0</v>
      </c>
      <c r="J160" s="22">
        <v>0</v>
      </c>
      <c r="K160" s="22">
        <v>0</v>
      </c>
      <c r="L160" s="22">
        <v>0</v>
      </c>
      <c r="M160" s="23">
        <v>0</v>
      </c>
    </row>
    <row r="161" spans="1:13" ht="15.6" x14ac:dyDescent="0.3">
      <c r="A161" s="110" t="s">
        <v>234</v>
      </c>
      <c r="B161" s="110"/>
      <c r="C161" s="12" t="s">
        <v>235</v>
      </c>
      <c r="D161" s="22">
        <v>0</v>
      </c>
      <c r="E161" s="22">
        <v>0</v>
      </c>
      <c r="F161" s="22">
        <v>0</v>
      </c>
      <c r="G161" s="22">
        <v>0</v>
      </c>
      <c r="H161" s="24">
        <f t="shared" si="27"/>
        <v>0</v>
      </c>
      <c r="I161" s="22">
        <v>0</v>
      </c>
      <c r="J161" s="22">
        <v>0</v>
      </c>
      <c r="K161" s="22">
        <v>0</v>
      </c>
      <c r="L161" s="22">
        <v>0</v>
      </c>
      <c r="M161" s="23">
        <v>0</v>
      </c>
    </row>
    <row r="162" spans="1:13" ht="16.2" x14ac:dyDescent="0.3">
      <c r="A162" s="110" t="s">
        <v>236</v>
      </c>
      <c r="B162" s="110"/>
      <c r="C162" s="12" t="s">
        <v>237</v>
      </c>
      <c r="D162" s="28">
        <v>0</v>
      </c>
      <c r="E162" s="28">
        <v>0</v>
      </c>
      <c r="F162" s="28">
        <v>0</v>
      </c>
      <c r="G162" s="22">
        <v>0</v>
      </c>
      <c r="H162" s="24">
        <f t="shared" si="27"/>
        <v>0</v>
      </c>
      <c r="I162" s="28">
        <v>0</v>
      </c>
      <c r="J162" s="28">
        <v>0</v>
      </c>
      <c r="K162" s="28">
        <v>0</v>
      </c>
      <c r="L162" s="22">
        <v>0</v>
      </c>
      <c r="M162" s="23">
        <v>0</v>
      </c>
    </row>
    <row r="163" spans="1:13" ht="30" customHeight="1" x14ac:dyDescent="0.3">
      <c r="A163" s="134" t="s">
        <v>238</v>
      </c>
      <c r="B163" s="134"/>
      <c r="C163" s="8">
        <v>35</v>
      </c>
      <c r="D163" s="86">
        <v>226</v>
      </c>
      <c r="E163" s="86">
        <v>225.01999999999998</v>
      </c>
      <c r="F163" s="24">
        <v>153</v>
      </c>
      <c r="G163" s="22">
        <f>G164+G165</f>
        <v>132.22</v>
      </c>
      <c r="H163" s="86">
        <f t="shared" si="27"/>
        <v>285.22000000000003</v>
      </c>
      <c r="I163" s="86">
        <f>SUM(I164:I166)+0.4</f>
        <v>284.5</v>
      </c>
      <c r="J163" s="86">
        <f t="shared" ref="J163:L163" si="30">SUM(J164:J166)</f>
        <v>71.14</v>
      </c>
      <c r="K163" s="86">
        <f t="shared" si="30"/>
        <v>59.14</v>
      </c>
      <c r="L163" s="86">
        <f t="shared" si="30"/>
        <v>79.539999999999992</v>
      </c>
      <c r="M163" s="86">
        <f>SUM(M164:M166)+0.38</f>
        <v>74.66</v>
      </c>
    </row>
    <row r="164" spans="1:13" ht="15.6" x14ac:dyDescent="0.3">
      <c r="A164" s="110" t="s">
        <v>396</v>
      </c>
      <c r="B164" s="110"/>
      <c r="C164" s="12" t="s">
        <v>239</v>
      </c>
      <c r="D164" s="22">
        <v>201</v>
      </c>
      <c r="E164" s="22">
        <v>206.01999999999998</v>
      </c>
      <c r="F164" s="22">
        <v>106</v>
      </c>
      <c r="G164" s="22">
        <v>105.22</v>
      </c>
      <c r="H164" s="24">
        <f t="shared" si="27"/>
        <v>211.22</v>
      </c>
      <c r="I164" s="22">
        <f>J164+K164+L164+M164</f>
        <v>240.6</v>
      </c>
      <c r="J164" s="22">
        <f>J199*0.18</f>
        <v>58.14</v>
      </c>
      <c r="K164" s="22">
        <f t="shared" ref="K164:L164" si="31">K199*0.18</f>
        <v>58.14</v>
      </c>
      <c r="L164" s="22">
        <f t="shared" si="31"/>
        <v>63.54</v>
      </c>
      <c r="M164" s="22">
        <f>M199*0.18+0.48</f>
        <v>60.779999999999994</v>
      </c>
    </row>
    <row r="165" spans="1:13" ht="15.6" x14ac:dyDescent="0.3">
      <c r="A165" s="110" t="s">
        <v>397</v>
      </c>
      <c r="B165" s="110"/>
      <c r="C165" s="12" t="s">
        <v>240</v>
      </c>
      <c r="D165" s="22">
        <v>25</v>
      </c>
      <c r="E165" s="22">
        <v>19</v>
      </c>
      <c r="F165" s="22">
        <v>47</v>
      </c>
      <c r="G165" s="22">
        <f>(50/2-4)+6</f>
        <v>27</v>
      </c>
      <c r="H165" s="24">
        <f t="shared" si="27"/>
        <v>74</v>
      </c>
      <c r="I165" s="24">
        <f>J165+K165+L165+M165</f>
        <v>43.5</v>
      </c>
      <c r="J165" s="22">
        <v>13</v>
      </c>
      <c r="K165" s="22">
        <f>J144</f>
        <v>1</v>
      </c>
      <c r="L165" s="22">
        <f t="shared" ref="L165:M165" si="32">K144</f>
        <v>16</v>
      </c>
      <c r="M165" s="22">
        <f t="shared" si="32"/>
        <v>13.5</v>
      </c>
    </row>
    <row r="166" spans="1:13" ht="15.6" x14ac:dyDescent="0.3">
      <c r="A166" s="110"/>
      <c r="B166" s="110"/>
      <c r="C166" s="12" t="s">
        <v>241</v>
      </c>
      <c r="D166" s="22">
        <v>0</v>
      </c>
      <c r="E166" s="22">
        <v>0</v>
      </c>
      <c r="F166" s="22">
        <v>0</v>
      </c>
      <c r="G166" s="22">
        <v>0</v>
      </c>
      <c r="H166" s="24">
        <f t="shared" si="27"/>
        <v>0</v>
      </c>
      <c r="I166" s="22">
        <v>0</v>
      </c>
      <c r="J166" s="22">
        <v>0</v>
      </c>
      <c r="K166" s="22">
        <v>0</v>
      </c>
      <c r="L166" s="22">
        <v>0</v>
      </c>
      <c r="M166" s="23">
        <v>0</v>
      </c>
    </row>
    <row r="167" spans="1:13" ht="30" customHeight="1" x14ac:dyDescent="0.3">
      <c r="A167" s="134" t="s">
        <v>242</v>
      </c>
      <c r="B167" s="134"/>
      <c r="C167" s="8">
        <v>36</v>
      </c>
      <c r="D167" s="86">
        <v>263</v>
      </c>
      <c r="E167" s="86">
        <v>273.08499999999998</v>
      </c>
      <c r="F167" s="24">
        <v>138</v>
      </c>
      <c r="G167" s="22">
        <v>138.685</v>
      </c>
      <c r="H167" s="86">
        <f t="shared" si="27"/>
        <v>276.685</v>
      </c>
      <c r="I167" s="86">
        <f t="shared" ref="I167:M167" si="33">SUM(I168:I169)</f>
        <v>319.01</v>
      </c>
      <c r="J167" s="86">
        <f t="shared" si="33"/>
        <v>77.844999999999999</v>
      </c>
      <c r="K167" s="86">
        <f t="shared" si="33"/>
        <v>77.844999999999999</v>
      </c>
      <c r="L167" s="86">
        <f t="shared" si="33"/>
        <v>83.295000000000002</v>
      </c>
      <c r="M167" s="86">
        <f t="shared" si="33"/>
        <v>80.025000000000006</v>
      </c>
    </row>
    <row r="168" spans="1:13" ht="15.6" x14ac:dyDescent="0.3">
      <c r="A168" s="110" t="s">
        <v>243</v>
      </c>
      <c r="B168" s="110"/>
      <c r="C168" s="12" t="s">
        <v>244</v>
      </c>
      <c r="D168" s="22">
        <v>246</v>
      </c>
      <c r="E168" s="22">
        <v>256</v>
      </c>
      <c r="F168" s="22">
        <v>129</v>
      </c>
      <c r="G168" s="22">
        <v>130</v>
      </c>
      <c r="H168" s="24">
        <f t="shared" si="27"/>
        <v>259</v>
      </c>
      <c r="I168" s="22">
        <f>J168+K168+L168+M168</f>
        <v>299</v>
      </c>
      <c r="J168" s="35">
        <f>J200</f>
        <v>73</v>
      </c>
      <c r="K168" s="35">
        <f t="shared" ref="K168:M168" si="34">K200</f>
        <v>73</v>
      </c>
      <c r="L168" s="35">
        <f t="shared" si="34"/>
        <v>78</v>
      </c>
      <c r="M168" s="35">
        <f t="shared" si="34"/>
        <v>75</v>
      </c>
    </row>
    <row r="169" spans="1:13" ht="15.6" x14ac:dyDescent="0.3">
      <c r="A169" s="110" t="s">
        <v>245</v>
      </c>
      <c r="B169" s="110"/>
      <c r="C169" s="12" t="s">
        <v>246</v>
      </c>
      <c r="D169" s="22">
        <v>17</v>
      </c>
      <c r="E169" s="22">
        <v>17.084999999999997</v>
      </c>
      <c r="F169" s="22">
        <v>9</v>
      </c>
      <c r="G169" s="22">
        <v>8.6849999999999987</v>
      </c>
      <c r="H169" s="24">
        <f t="shared" si="27"/>
        <v>17.684999999999999</v>
      </c>
      <c r="I169" s="22">
        <f>J169+K169+L169+M169</f>
        <v>20.009999999999998</v>
      </c>
      <c r="J169" s="22">
        <f>J199*0.015</f>
        <v>4.8449999999999998</v>
      </c>
      <c r="K169" s="22">
        <f t="shared" ref="K169:M169" si="35">K199*0.015</f>
        <v>4.8449999999999998</v>
      </c>
      <c r="L169" s="22">
        <f t="shared" si="35"/>
        <v>5.2949999999999999</v>
      </c>
      <c r="M169" s="22">
        <f t="shared" si="35"/>
        <v>5.0249999999999995</v>
      </c>
    </row>
    <row r="170" spans="1:13" ht="15.6" x14ac:dyDescent="0.3">
      <c r="A170" s="134" t="s">
        <v>247</v>
      </c>
      <c r="B170" s="134"/>
      <c r="C170" s="8">
        <v>37</v>
      </c>
      <c r="D170" s="24">
        <v>0</v>
      </c>
      <c r="E170" s="24">
        <v>0</v>
      </c>
      <c r="F170" s="24">
        <v>0</v>
      </c>
      <c r="G170" s="22">
        <v>0</v>
      </c>
      <c r="H170" s="24">
        <f t="shared" si="27"/>
        <v>0</v>
      </c>
      <c r="I170" s="24">
        <f t="shared" ref="I170:M170" si="36">I171+I174</f>
        <v>0</v>
      </c>
      <c r="J170" s="24">
        <f t="shared" si="36"/>
        <v>0</v>
      </c>
      <c r="K170" s="24">
        <f t="shared" si="36"/>
        <v>0</v>
      </c>
      <c r="L170" s="24">
        <f t="shared" si="36"/>
        <v>0</v>
      </c>
      <c r="M170" s="24">
        <f t="shared" si="36"/>
        <v>0</v>
      </c>
    </row>
    <row r="171" spans="1:13" ht="16.2" x14ac:dyDescent="0.3">
      <c r="A171" s="161" t="s">
        <v>248</v>
      </c>
      <c r="B171" s="161"/>
      <c r="C171" s="13" t="s">
        <v>249</v>
      </c>
      <c r="D171" s="28">
        <v>0</v>
      </c>
      <c r="E171" s="28">
        <v>0</v>
      </c>
      <c r="F171" s="28">
        <v>0</v>
      </c>
      <c r="G171" s="22">
        <v>0</v>
      </c>
      <c r="H171" s="24">
        <f t="shared" si="27"/>
        <v>0</v>
      </c>
      <c r="I171" s="28">
        <f t="shared" ref="I171:M171" si="37">SUM(I172:I173)</f>
        <v>0</v>
      </c>
      <c r="J171" s="28">
        <f t="shared" si="37"/>
        <v>0</v>
      </c>
      <c r="K171" s="28">
        <f t="shared" si="37"/>
        <v>0</v>
      </c>
      <c r="L171" s="28">
        <f t="shared" si="37"/>
        <v>0</v>
      </c>
      <c r="M171" s="28">
        <f t="shared" si="37"/>
        <v>0</v>
      </c>
    </row>
    <row r="172" spans="1:13" ht="15.6" x14ac:dyDescent="0.3">
      <c r="A172" s="110" t="s">
        <v>250</v>
      </c>
      <c r="B172" s="110"/>
      <c r="C172" s="12" t="s">
        <v>251</v>
      </c>
      <c r="D172" s="22">
        <v>0</v>
      </c>
      <c r="E172" s="22">
        <v>0</v>
      </c>
      <c r="F172" s="22">
        <v>0</v>
      </c>
      <c r="G172" s="22">
        <v>0</v>
      </c>
      <c r="H172" s="24">
        <f t="shared" si="27"/>
        <v>0</v>
      </c>
      <c r="I172" s="22">
        <v>0</v>
      </c>
      <c r="J172" s="22">
        <v>0</v>
      </c>
      <c r="K172" s="22">
        <v>0</v>
      </c>
      <c r="L172" s="22">
        <v>0</v>
      </c>
      <c r="M172" s="23">
        <v>0</v>
      </c>
    </row>
    <row r="173" spans="1:13" ht="15.6" x14ac:dyDescent="0.3">
      <c r="A173" s="110" t="s">
        <v>252</v>
      </c>
      <c r="B173" s="110"/>
      <c r="C173" s="12" t="s">
        <v>253</v>
      </c>
      <c r="D173" s="22">
        <v>0</v>
      </c>
      <c r="E173" s="22">
        <v>0</v>
      </c>
      <c r="F173" s="22">
        <v>0</v>
      </c>
      <c r="G173" s="22">
        <v>0</v>
      </c>
      <c r="H173" s="24">
        <f t="shared" si="27"/>
        <v>0</v>
      </c>
      <c r="I173" s="22">
        <v>0</v>
      </c>
      <c r="J173" s="22">
        <v>0</v>
      </c>
      <c r="K173" s="22">
        <v>0</v>
      </c>
      <c r="L173" s="22">
        <v>0</v>
      </c>
      <c r="M173" s="23">
        <v>0</v>
      </c>
    </row>
    <row r="174" spans="1:13" ht="16.2" x14ac:dyDescent="0.3">
      <c r="A174" s="161" t="s">
        <v>254</v>
      </c>
      <c r="B174" s="161"/>
      <c r="C174" s="13" t="s">
        <v>255</v>
      </c>
      <c r="D174" s="28">
        <v>0</v>
      </c>
      <c r="E174" s="28">
        <v>0</v>
      </c>
      <c r="F174" s="28">
        <v>0</v>
      </c>
      <c r="G174" s="22">
        <v>0</v>
      </c>
      <c r="H174" s="24">
        <f t="shared" si="27"/>
        <v>0</v>
      </c>
      <c r="I174" s="28">
        <f t="shared" ref="I174:M174" si="38">SUM(I175:I176)</f>
        <v>0</v>
      </c>
      <c r="J174" s="28">
        <f t="shared" si="38"/>
        <v>0</v>
      </c>
      <c r="K174" s="28">
        <f t="shared" si="38"/>
        <v>0</v>
      </c>
      <c r="L174" s="28">
        <f t="shared" si="38"/>
        <v>0</v>
      </c>
      <c r="M174" s="28">
        <f t="shared" si="38"/>
        <v>0</v>
      </c>
    </row>
    <row r="175" spans="1:13" ht="15.6" x14ac:dyDescent="0.3">
      <c r="A175" s="110" t="s">
        <v>250</v>
      </c>
      <c r="B175" s="110"/>
      <c r="C175" s="12" t="s">
        <v>256</v>
      </c>
      <c r="D175" s="22">
        <v>0</v>
      </c>
      <c r="E175" s="22">
        <v>0</v>
      </c>
      <c r="F175" s="22">
        <v>0</v>
      </c>
      <c r="G175" s="22">
        <v>0</v>
      </c>
      <c r="H175" s="24">
        <f t="shared" si="27"/>
        <v>0</v>
      </c>
      <c r="I175" s="22">
        <v>0</v>
      </c>
      <c r="J175" s="22">
        <v>0</v>
      </c>
      <c r="K175" s="22">
        <v>0</v>
      </c>
      <c r="L175" s="22">
        <v>0</v>
      </c>
      <c r="M175" s="23">
        <v>0</v>
      </c>
    </row>
    <row r="176" spans="1:13" ht="15.6" x14ac:dyDescent="0.3">
      <c r="A176" s="110" t="s">
        <v>252</v>
      </c>
      <c r="B176" s="110"/>
      <c r="C176" s="12" t="s">
        <v>257</v>
      </c>
      <c r="D176" s="22">
        <v>0</v>
      </c>
      <c r="E176" s="22">
        <v>0</v>
      </c>
      <c r="F176" s="22">
        <v>0</v>
      </c>
      <c r="G176" s="22">
        <v>0</v>
      </c>
      <c r="H176" s="24">
        <f t="shared" si="27"/>
        <v>0</v>
      </c>
      <c r="I176" s="22">
        <v>0</v>
      </c>
      <c r="J176" s="22">
        <v>0</v>
      </c>
      <c r="K176" s="22">
        <v>0</v>
      </c>
      <c r="L176" s="22">
        <v>0</v>
      </c>
      <c r="M176" s="23">
        <v>0</v>
      </c>
    </row>
    <row r="177" spans="1:13" ht="15.6" x14ac:dyDescent="0.3">
      <c r="A177" s="134" t="s">
        <v>258</v>
      </c>
      <c r="B177" s="134"/>
      <c r="C177" s="8">
        <v>38</v>
      </c>
      <c r="D177" s="86">
        <v>791</v>
      </c>
      <c r="E177" s="86">
        <v>815.63499999999999</v>
      </c>
      <c r="F177" s="24">
        <v>490</v>
      </c>
      <c r="G177" s="22">
        <f>G156+G163+G167</f>
        <v>435.30500000000001</v>
      </c>
      <c r="H177" s="78">
        <f>F177+G177</f>
        <v>925.30500000000006</v>
      </c>
      <c r="I177" s="86">
        <f>I156+I163+I167+I170</f>
        <v>966.51800000000003</v>
      </c>
      <c r="J177" s="86">
        <f t="shared" ref="J177:K177" si="39">J170+J167+J163+J156</f>
        <v>231.947</v>
      </c>
      <c r="K177" s="86">
        <f t="shared" si="39"/>
        <v>225.36100000000002</v>
      </c>
      <c r="L177" s="86">
        <f>L170+L167+L163+L156</f>
        <v>261.05499999999995</v>
      </c>
      <c r="M177" s="86">
        <f>M170+M167+M163+M156+1</f>
        <v>249.29500000000002</v>
      </c>
    </row>
    <row r="178" spans="1:13" ht="15.6" x14ac:dyDescent="0.3">
      <c r="A178" s="116" t="s">
        <v>259</v>
      </c>
      <c r="B178" s="117"/>
      <c r="C178" s="117"/>
      <c r="D178" s="117"/>
      <c r="E178" s="117"/>
      <c r="F178" s="117"/>
      <c r="G178" s="117"/>
      <c r="H178" s="117"/>
      <c r="I178" s="117"/>
      <c r="J178" s="117"/>
      <c r="K178" s="117"/>
      <c r="L178" s="117"/>
      <c r="M178" s="118"/>
    </row>
    <row r="179" spans="1:13" ht="15.6" x14ac:dyDescent="0.3">
      <c r="A179" s="110" t="s">
        <v>260</v>
      </c>
      <c r="B179" s="110"/>
      <c r="C179" s="8">
        <v>39</v>
      </c>
      <c r="D179" s="24">
        <v>128</v>
      </c>
      <c r="E179" s="24">
        <v>214.75</v>
      </c>
      <c r="F179" s="24">
        <v>192</v>
      </c>
      <c r="G179" s="24"/>
      <c r="H179" s="24">
        <f>D194</f>
        <v>192</v>
      </c>
      <c r="I179" s="24">
        <f>H194</f>
        <v>140.00000000000006</v>
      </c>
      <c r="J179" s="24">
        <f>I179</f>
        <v>140.00000000000006</v>
      </c>
      <c r="K179" s="24">
        <f>J179+J185</f>
        <v>110.92000000000013</v>
      </c>
      <c r="L179" s="24">
        <f>K179+K185</f>
        <v>144.62000000000018</v>
      </c>
      <c r="M179" s="24">
        <f>L179+L185</f>
        <v>160.74000000000018</v>
      </c>
    </row>
    <row r="180" spans="1:13" ht="15.6" x14ac:dyDescent="0.3">
      <c r="A180" s="110" t="s">
        <v>261</v>
      </c>
      <c r="B180" s="110"/>
      <c r="C180" s="8">
        <v>40</v>
      </c>
      <c r="D180" s="27">
        <v>153</v>
      </c>
      <c r="E180" s="27">
        <v>68.509999999999764</v>
      </c>
      <c r="F180" s="27">
        <v>18</v>
      </c>
      <c r="G180" s="27">
        <f>G140-G141+G130-G157+G201-G121</f>
        <v>33.00000000000005</v>
      </c>
      <c r="H180" s="27">
        <f>F180+G180</f>
        <v>51.00000000000005</v>
      </c>
      <c r="I180" s="27">
        <f>I185-I182-I183</f>
        <v>221.56199999999973</v>
      </c>
      <c r="J180" s="27">
        <f>J185-J182-J183</f>
        <v>11.208000000000069</v>
      </c>
      <c r="K180" s="27">
        <f>K185-K182-K183+0.2</f>
        <v>74.644000000000048</v>
      </c>
      <c r="L180" s="27">
        <f>L185-L182-L183</f>
        <v>32.120000000000005</v>
      </c>
      <c r="M180" s="27">
        <f>M185-M182-M183+0.2</f>
        <v>103.58999999999999</v>
      </c>
    </row>
    <row r="181" spans="1:13" ht="15.6" x14ac:dyDescent="0.3">
      <c r="A181" s="110" t="s">
        <v>262</v>
      </c>
      <c r="B181" s="110"/>
      <c r="C181" s="12" t="s">
        <v>263</v>
      </c>
      <c r="D181" s="22">
        <v>0</v>
      </c>
      <c r="E181" s="22">
        <v>0</v>
      </c>
      <c r="F181" s="22">
        <v>0</v>
      </c>
      <c r="G181" s="27">
        <v>0</v>
      </c>
      <c r="H181" s="27">
        <v>0</v>
      </c>
      <c r="I181" s="22">
        <v>0</v>
      </c>
      <c r="J181" s="22">
        <v>0</v>
      </c>
      <c r="K181" s="22">
        <v>0</v>
      </c>
      <c r="L181" s="22">
        <v>0</v>
      </c>
      <c r="M181" s="22">
        <v>0</v>
      </c>
    </row>
    <row r="182" spans="1:13" ht="15.6" x14ac:dyDescent="0.3">
      <c r="A182" s="110" t="s">
        <v>264</v>
      </c>
      <c r="B182" s="110"/>
      <c r="C182" s="8">
        <v>41</v>
      </c>
      <c r="D182" s="27">
        <v>-64</v>
      </c>
      <c r="E182" s="27">
        <v>0</v>
      </c>
      <c r="F182" s="27">
        <v>-14</v>
      </c>
      <c r="G182" s="27">
        <v>0</v>
      </c>
      <c r="H182" s="93">
        <f>F182+G182</f>
        <v>-14</v>
      </c>
      <c r="I182" s="93">
        <f>-I205*1.2</f>
        <v>-139.03199999999998</v>
      </c>
      <c r="J182" s="93">
        <f>-J205*1.2</f>
        <v>-27.287999999999997</v>
      </c>
      <c r="K182" s="93">
        <f>-K205*1.2</f>
        <v>-39.743999999999993</v>
      </c>
      <c r="L182" s="93">
        <f>-L205*1.2</f>
        <v>0</v>
      </c>
      <c r="M182" s="93">
        <f>-M205*1.2</f>
        <v>-72</v>
      </c>
    </row>
    <row r="183" spans="1:13" ht="15.6" x14ac:dyDescent="0.3">
      <c r="A183" s="110" t="s">
        <v>265</v>
      </c>
      <c r="B183" s="110"/>
      <c r="C183" s="8">
        <v>42</v>
      </c>
      <c r="D183" s="27">
        <v>-25</v>
      </c>
      <c r="E183" s="27">
        <v>-19</v>
      </c>
      <c r="F183" s="27">
        <v>-62</v>
      </c>
      <c r="G183" s="27">
        <f>-G165</f>
        <v>-27</v>
      </c>
      <c r="H183" s="93">
        <f>F183+G183</f>
        <v>-89</v>
      </c>
      <c r="I183" s="93">
        <f>-I165</f>
        <v>-43.5</v>
      </c>
      <c r="J183" s="93">
        <f t="shared" ref="J183:M183" si="40">-J165</f>
        <v>-13</v>
      </c>
      <c r="K183" s="93">
        <f t="shared" si="40"/>
        <v>-1</v>
      </c>
      <c r="L183" s="93">
        <f t="shared" si="40"/>
        <v>-16</v>
      </c>
      <c r="M183" s="93">
        <f t="shared" si="40"/>
        <v>-13.5</v>
      </c>
    </row>
    <row r="184" spans="1:13" ht="15.6" x14ac:dyDescent="0.3">
      <c r="A184" s="110" t="s">
        <v>266</v>
      </c>
      <c r="B184" s="110"/>
      <c r="C184" s="8">
        <v>43</v>
      </c>
      <c r="D184" s="24">
        <v>64</v>
      </c>
      <c r="E184" s="24">
        <v>49.509999999999764</v>
      </c>
      <c r="F184" s="24">
        <v>-58</v>
      </c>
      <c r="G184" s="27">
        <f>G180+G182+G183</f>
        <v>6.0000000000000497</v>
      </c>
      <c r="H184" s="168">
        <f>F184+G184</f>
        <v>-51.99999999999995</v>
      </c>
      <c r="I184" s="73">
        <f>I180+I182+I183</f>
        <v>39.029999999999745</v>
      </c>
      <c r="J184" s="73">
        <f t="shared" ref="J184:M184" si="41">J180+J182+J183</f>
        <v>-29.079999999999927</v>
      </c>
      <c r="K184" s="73">
        <f>K180+K182+K183</f>
        <v>33.900000000000055</v>
      </c>
      <c r="L184" s="73">
        <f t="shared" si="41"/>
        <v>16.120000000000005</v>
      </c>
      <c r="M184" s="73">
        <f t="shared" si="41"/>
        <v>18.089999999999989</v>
      </c>
    </row>
    <row r="185" spans="1:13" ht="30" customHeight="1" x14ac:dyDescent="0.3">
      <c r="A185" s="110" t="s">
        <v>267</v>
      </c>
      <c r="B185" s="110"/>
      <c r="C185" s="8">
        <v>44</v>
      </c>
      <c r="D185" s="24">
        <v>64</v>
      </c>
      <c r="E185" s="24">
        <v>49.509999999999764</v>
      </c>
      <c r="F185" s="24">
        <v>-58</v>
      </c>
      <c r="G185" s="27">
        <f>G184</f>
        <v>6.0000000000000497</v>
      </c>
      <c r="H185" s="168">
        <f>H184</f>
        <v>-51.99999999999995</v>
      </c>
      <c r="I185" s="73">
        <f>I189-I190</f>
        <v>39.029999999999745</v>
      </c>
      <c r="J185" s="73">
        <f>J189-J190</f>
        <v>-29.079999999999927</v>
      </c>
      <c r="K185" s="73">
        <f>K189-K190</f>
        <v>33.700000000000045</v>
      </c>
      <c r="L185" s="73">
        <f t="shared" ref="L185" si="42">L189-L190</f>
        <v>16.120000000000005</v>
      </c>
      <c r="M185" s="73">
        <f>M189-M190</f>
        <v>17.889999999999986</v>
      </c>
    </row>
    <row r="186" spans="1:13" ht="3" customHeight="1" x14ac:dyDescent="0.3">
      <c r="A186" s="42"/>
      <c r="B186" s="42"/>
      <c r="C186" s="45"/>
      <c r="D186" s="46"/>
      <c r="E186" s="46"/>
      <c r="F186" s="46"/>
      <c r="G186" s="46"/>
      <c r="H186" s="46"/>
      <c r="I186" s="46"/>
      <c r="J186" s="46"/>
      <c r="K186" s="46"/>
      <c r="L186" s="46"/>
      <c r="M186" s="46"/>
    </row>
    <row r="187" spans="1:13" ht="30" customHeight="1" x14ac:dyDescent="0.3">
      <c r="A187" s="103" t="s">
        <v>432</v>
      </c>
      <c r="B187" s="104"/>
      <c r="C187" s="107" t="s">
        <v>20</v>
      </c>
      <c r="D187" s="107" t="s">
        <v>450</v>
      </c>
      <c r="E187" s="107" t="s">
        <v>448</v>
      </c>
      <c r="F187" s="94" t="s">
        <v>451</v>
      </c>
      <c r="G187" s="94" t="s">
        <v>452</v>
      </c>
      <c r="H187" s="107" t="s">
        <v>453</v>
      </c>
      <c r="I187" s="107" t="s">
        <v>454</v>
      </c>
      <c r="J187" s="108" t="s">
        <v>21</v>
      </c>
      <c r="K187" s="108"/>
      <c r="L187" s="108"/>
      <c r="M187" s="108"/>
    </row>
    <row r="188" spans="1:13" ht="30" customHeight="1" x14ac:dyDescent="0.3">
      <c r="A188" s="105"/>
      <c r="B188" s="106"/>
      <c r="C188" s="107"/>
      <c r="D188" s="107"/>
      <c r="E188" s="107"/>
      <c r="F188" s="94"/>
      <c r="G188" s="94"/>
      <c r="H188" s="107"/>
      <c r="I188" s="107"/>
      <c r="J188" s="47">
        <v>1</v>
      </c>
      <c r="K188" s="47">
        <v>2</v>
      </c>
      <c r="L188" s="47">
        <v>3</v>
      </c>
      <c r="M188" s="47">
        <v>4</v>
      </c>
    </row>
    <row r="189" spans="1:13" ht="15.6" x14ac:dyDescent="0.3">
      <c r="A189" s="163" t="s">
        <v>268</v>
      </c>
      <c r="B189" s="163"/>
      <c r="C189" s="12" t="s">
        <v>269</v>
      </c>
      <c r="D189" s="22">
        <v>2059</v>
      </c>
      <c r="E189" s="22">
        <v>2029.84</v>
      </c>
      <c r="F189" s="22">
        <v>1008</v>
      </c>
      <c r="G189" s="22">
        <v>1022</v>
      </c>
      <c r="H189" s="61">
        <f>F189+G189</f>
        <v>2030</v>
      </c>
      <c r="I189" s="61">
        <f>J189+K189+L189+M189</f>
        <v>2392</v>
      </c>
      <c r="J189" s="61">
        <f>J26</f>
        <v>540</v>
      </c>
      <c r="K189" s="61">
        <f t="shared" ref="K189:M189" si="43">K26</f>
        <v>600</v>
      </c>
      <c r="L189" s="61">
        <f t="shared" si="43"/>
        <v>600</v>
      </c>
      <c r="M189" s="61">
        <f t="shared" si="43"/>
        <v>652</v>
      </c>
    </row>
    <row r="190" spans="1:13" ht="15.6" x14ac:dyDescent="0.3">
      <c r="A190" s="109" t="s">
        <v>270</v>
      </c>
      <c r="B190" s="109"/>
      <c r="C190" s="12" t="s">
        <v>271</v>
      </c>
      <c r="D190" s="27">
        <v>1995</v>
      </c>
      <c r="E190" s="27">
        <v>1980.3300000000002</v>
      </c>
      <c r="F190" s="27">
        <v>1066</v>
      </c>
      <c r="G190" s="22">
        <f>1022-6</f>
        <v>1016</v>
      </c>
      <c r="H190" s="78">
        <f>F190+G190</f>
        <v>2082</v>
      </c>
      <c r="I190" s="93">
        <f>SUM(I191:I192)</f>
        <v>2352.9700000000003</v>
      </c>
      <c r="J190" s="93">
        <f>(J203+J205+J157+J27+J165)-J201+J150</f>
        <v>569.07999999999993</v>
      </c>
      <c r="K190" s="93">
        <f>(K203+K205+K157+K27+K165)-K201+K150+1</f>
        <v>566.29999999999995</v>
      </c>
      <c r="L190" s="93">
        <f t="shared" ref="L190:M190" si="44">(L203+L205+L157+L27+L165)-L201+L150</f>
        <v>583.88</v>
      </c>
      <c r="M190" s="93">
        <f t="shared" si="44"/>
        <v>634.11</v>
      </c>
    </row>
    <row r="191" spans="1:13" ht="15.6" x14ac:dyDescent="0.3">
      <c r="A191" s="109" t="s">
        <v>272</v>
      </c>
      <c r="B191" s="109"/>
      <c r="C191" s="12" t="s">
        <v>273</v>
      </c>
      <c r="D191" s="27">
        <v>187</v>
      </c>
      <c r="E191" s="27">
        <v>26</v>
      </c>
      <c r="F191" s="27">
        <v>32</v>
      </c>
      <c r="G191" s="22">
        <f>G190-G192</f>
        <v>26</v>
      </c>
      <c r="H191" s="78">
        <f>F191+G191</f>
        <v>58</v>
      </c>
      <c r="I191" s="93">
        <f>J191+K191+L191+M191</f>
        <v>150.66</v>
      </c>
      <c r="J191" s="93">
        <f>J58*1.2+J62+J69*1.2+J205</f>
        <v>36.54</v>
      </c>
      <c r="K191" s="93">
        <f t="shared" ref="K191:M191" si="45">K205+K53+K62+K68+K82</f>
        <v>40.119999999999997</v>
      </c>
      <c r="L191" s="93">
        <f t="shared" si="45"/>
        <v>8</v>
      </c>
      <c r="M191" s="93">
        <f t="shared" si="45"/>
        <v>66</v>
      </c>
    </row>
    <row r="192" spans="1:13" ht="15.6" x14ac:dyDescent="0.3">
      <c r="A192" s="109" t="s">
        <v>274</v>
      </c>
      <c r="B192" s="109"/>
      <c r="C192" s="12" t="s">
        <v>275</v>
      </c>
      <c r="D192" s="27">
        <v>1808</v>
      </c>
      <c r="E192" s="27">
        <v>1953.3300000000002</v>
      </c>
      <c r="F192" s="27">
        <v>1034</v>
      </c>
      <c r="G192" s="22">
        <v>990</v>
      </c>
      <c r="H192" s="78">
        <f>F192+G192</f>
        <v>2024</v>
      </c>
      <c r="I192" s="93">
        <f>J192+K192+L192+M192-0.2</f>
        <v>2202.3100000000004</v>
      </c>
      <c r="J192" s="93">
        <f>J190-J191-0.2</f>
        <v>532.33999999999992</v>
      </c>
      <c r="K192" s="93">
        <f t="shared" ref="K192:M192" si="46">K190-K191</f>
        <v>526.17999999999995</v>
      </c>
      <c r="L192" s="93">
        <f t="shared" si="46"/>
        <v>575.88</v>
      </c>
      <c r="M192" s="93">
        <f t="shared" si="46"/>
        <v>568.11</v>
      </c>
    </row>
    <row r="193" spans="1:13" ht="15.6" x14ac:dyDescent="0.3">
      <c r="A193" s="110" t="s">
        <v>276</v>
      </c>
      <c r="B193" s="110"/>
      <c r="C193" s="8">
        <v>45</v>
      </c>
      <c r="D193" s="27">
        <v>0</v>
      </c>
      <c r="E193" s="27">
        <v>0</v>
      </c>
      <c r="F193" s="27">
        <v>0</v>
      </c>
      <c r="G193" s="22">
        <v>0</v>
      </c>
      <c r="H193" s="27">
        <v>0</v>
      </c>
      <c r="I193" s="27">
        <v>0</v>
      </c>
      <c r="J193" s="27">
        <v>0</v>
      </c>
      <c r="K193" s="27">
        <v>0</v>
      </c>
      <c r="L193" s="27">
        <v>0</v>
      </c>
      <c r="M193" s="27">
        <v>0</v>
      </c>
    </row>
    <row r="194" spans="1:13" ht="15.6" x14ac:dyDescent="0.3">
      <c r="A194" s="110" t="s">
        <v>277</v>
      </c>
      <c r="B194" s="110"/>
      <c r="C194" s="8">
        <v>46</v>
      </c>
      <c r="D194" s="24">
        <v>192</v>
      </c>
      <c r="E194" s="24">
        <v>265.25999999999976</v>
      </c>
      <c r="F194" s="24">
        <v>134</v>
      </c>
      <c r="G194" s="22"/>
      <c r="H194" s="24">
        <f>H179+H184</f>
        <v>140.00000000000006</v>
      </c>
      <c r="I194" s="24">
        <f>I179+I184+I193</f>
        <v>179.0299999999998</v>
      </c>
      <c r="J194" s="24">
        <f>J179+J184+J193</f>
        <v>110.92000000000013</v>
      </c>
      <c r="K194" s="24">
        <f>K179+K184+K193</f>
        <v>144.82000000000019</v>
      </c>
      <c r="L194" s="24">
        <f>L179+L184+L193</f>
        <v>160.74000000000018</v>
      </c>
      <c r="M194" s="24">
        <f t="shared" ref="M194" si="47">M179+M184+M193</f>
        <v>178.83000000000015</v>
      </c>
    </row>
    <row r="195" spans="1:13" ht="15.6" x14ac:dyDescent="0.3">
      <c r="A195" s="116" t="s">
        <v>278</v>
      </c>
      <c r="B195" s="117"/>
      <c r="C195" s="117"/>
      <c r="D195" s="117"/>
      <c r="E195" s="117"/>
      <c r="F195" s="117"/>
      <c r="G195" s="117"/>
      <c r="H195" s="117"/>
      <c r="I195" s="117"/>
      <c r="J195" s="117"/>
      <c r="K195" s="117"/>
      <c r="L195" s="117"/>
      <c r="M195" s="118"/>
    </row>
    <row r="196" spans="1:13" ht="15.6" x14ac:dyDescent="0.3">
      <c r="A196" s="157" t="s">
        <v>279</v>
      </c>
      <c r="B196" s="157"/>
      <c r="C196" s="9">
        <v>47</v>
      </c>
      <c r="D196" s="22">
        <v>21</v>
      </c>
      <c r="E196" s="22">
        <v>22</v>
      </c>
      <c r="F196" s="37">
        <v>11</v>
      </c>
      <c r="G196" s="22">
        <v>10</v>
      </c>
      <c r="H196" s="37">
        <f>F196+G196</f>
        <v>21</v>
      </c>
      <c r="I196" s="37">
        <f>J196+K196+L196+M196</f>
        <v>24</v>
      </c>
      <c r="J196" s="37">
        <f>J82</f>
        <v>6</v>
      </c>
      <c r="K196" s="37">
        <f t="shared" ref="K196:M196" si="48">K82</f>
        <v>6</v>
      </c>
      <c r="L196" s="37">
        <f t="shared" si="48"/>
        <v>6</v>
      </c>
      <c r="M196" s="37">
        <f t="shared" si="48"/>
        <v>6</v>
      </c>
    </row>
    <row r="197" spans="1:13" ht="15.6" x14ac:dyDescent="0.3">
      <c r="A197" s="162" t="s">
        <v>280</v>
      </c>
      <c r="B197" s="162"/>
      <c r="C197" s="14" t="s">
        <v>281</v>
      </c>
      <c r="D197" s="29">
        <v>0</v>
      </c>
      <c r="E197" s="29">
        <v>0</v>
      </c>
      <c r="F197" s="29">
        <v>0</v>
      </c>
      <c r="G197" s="22">
        <v>0</v>
      </c>
      <c r="H197" s="22">
        <v>0</v>
      </c>
      <c r="I197" s="29">
        <v>0</v>
      </c>
      <c r="J197" s="29">
        <v>0</v>
      </c>
      <c r="K197" s="29">
        <v>0</v>
      </c>
      <c r="L197" s="29">
        <v>0</v>
      </c>
      <c r="M197" s="29">
        <v>0</v>
      </c>
    </row>
    <row r="198" spans="1:13" ht="15.6" x14ac:dyDescent="0.3">
      <c r="A198" s="162" t="s">
        <v>282</v>
      </c>
      <c r="B198" s="162"/>
      <c r="C198" s="14" t="s">
        <v>283</v>
      </c>
      <c r="D198" s="29">
        <v>0</v>
      </c>
      <c r="E198" s="29">
        <v>0</v>
      </c>
      <c r="F198" s="29">
        <v>0</v>
      </c>
      <c r="G198" s="22">
        <v>0</v>
      </c>
      <c r="H198" s="22">
        <v>0</v>
      </c>
      <c r="I198" s="29">
        <v>0</v>
      </c>
      <c r="J198" s="29">
        <v>0</v>
      </c>
      <c r="K198" s="29">
        <v>0</v>
      </c>
      <c r="L198" s="29">
        <v>0</v>
      </c>
      <c r="M198" s="29">
        <v>0</v>
      </c>
    </row>
    <row r="199" spans="1:13" ht="15.6" x14ac:dyDescent="0.3">
      <c r="A199" s="156" t="s">
        <v>284</v>
      </c>
      <c r="B199" s="156"/>
      <c r="C199" s="9">
        <v>48</v>
      </c>
      <c r="D199" s="22">
        <v>1106</v>
      </c>
      <c r="E199" s="22">
        <v>1139</v>
      </c>
      <c r="F199" s="34">
        <v>575</v>
      </c>
      <c r="G199" s="22">
        <v>579</v>
      </c>
      <c r="H199" s="34">
        <f>F199+G199</f>
        <v>1154</v>
      </c>
      <c r="I199" s="34">
        <f>J199+K199+L199+M199</f>
        <v>1334</v>
      </c>
      <c r="J199" s="34">
        <f>J298+J59+J44</f>
        <v>323</v>
      </c>
      <c r="K199" s="34">
        <f>K298+K59+K44</f>
        <v>323</v>
      </c>
      <c r="L199" s="34">
        <f>L298+L59+L44</f>
        <v>353</v>
      </c>
      <c r="M199" s="34">
        <f>M298+M59+M44</f>
        <v>335</v>
      </c>
    </row>
    <row r="200" spans="1:13" ht="15.6" x14ac:dyDescent="0.3">
      <c r="A200" s="152" t="s">
        <v>285</v>
      </c>
      <c r="B200" s="152"/>
      <c r="C200" s="9">
        <v>49</v>
      </c>
      <c r="D200" s="22">
        <v>246</v>
      </c>
      <c r="E200" s="22">
        <v>256</v>
      </c>
      <c r="F200" s="35">
        <v>129</v>
      </c>
      <c r="G200" s="22">
        <v>130</v>
      </c>
      <c r="H200" s="35">
        <f>F200+G200</f>
        <v>259</v>
      </c>
      <c r="I200" s="35">
        <f>J200+K200+L200+M200</f>
        <v>299</v>
      </c>
      <c r="J200" s="35">
        <f>J306+J307+J308+J311+J60+J45</f>
        <v>73</v>
      </c>
      <c r="K200" s="35">
        <f>K306+K307+K308+K311+K60+K45</f>
        <v>73</v>
      </c>
      <c r="L200" s="35">
        <f>L306+L307+L308+L311+L60+L45</f>
        <v>78</v>
      </c>
      <c r="M200" s="35">
        <f>M306+M307+M308+M311+M60+M45</f>
        <v>75</v>
      </c>
    </row>
    <row r="201" spans="1:13" ht="15.6" x14ac:dyDescent="0.3">
      <c r="A201" s="154" t="s">
        <v>286</v>
      </c>
      <c r="B201" s="154"/>
      <c r="C201" s="9">
        <v>50</v>
      </c>
      <c r="D201" s="22">
        <v>45</v>
      </c>
      <c r="E201" s="22">
        <v>36</v>
      </c>
      <c r="F201" s="36">
        <v>26</v>
      </c>
      <c r="G201" s="22">
        <v>18</v>
      </c>
      <c r="H201" s="36">
        <f>F201+G201</f>
        <v>44</v>
      </c>
      <c r="I201" s="36">
        <f>J201+K201+L201+M201</f>
        <v>73</v>
      </c>
      <c r="J201" s="36">
        <f>J61+J47</f>
        <v>26</v>
      </c>
      <c r="K201" s="36">
        <f t="shared" ref="K201:M201" si="49">K61+K47</f>
        <v>35</v>
      </c>
      <c r="L201" s="36">
        <f t="shared" si="49"/>
        <v>6</v>
      </c>
      <c r="M201" s="36">
        <f t="shared" si="49"/>
        <v>6</v>
      </c>
    </row>
    <row r="202" spans="1:13" ht="15.6" x14ac:dyDescent="0.3">
      <c r="A202" s="155" t="s">
        <v>287</v>
      </c>
      <c r="B202" s="155"/>
      <c r="C202" s="9">
        <v>51</v>
      </c>
      <c r="D202" s="22">
        <v>166</v>
      </c>
      <c r="E202" s="22">
        <v>186</v>
      </c>
      <c r="F202" s="75">
        <v>37</v>
      </c>
      <c r="G202" s="22">
        <v>94</v>
      </c>
      <c r="H202" s="75">
        <f>F202+G202</f>
        <v>131</v>
      </c>
      <c r="I202" s="75">
        <f>J202+K202+L202+M202</f>
        <v>128</v>
      </c>
      <c r="J202" s="75">
        <f>J53+J58+J62+J68+J69+J72+J76+J77+J303+J309+J310-J196</f>
        <v>38</v>
      </c>
      <c r="K202" s="75">
        <f>K53+K58+K62+K68+K69+K72+K76+K77+K303+K309+K310-K196</f>
        <v>29</v>
      </c>
      <c r="L202" s="75">
        <f>L53+L58+L62+L68+L69+L72+L76+L77+L303+L309+L310-L196</f>
        <v>28</v>
      </c>
      <c r="M202" s="75">
        <f>M53+M58+M62+M68+M69+M72+M76+M77+M303+M309+M310-M196</f>
        <v>33</v>
      </c>
    </row>
    <row r="203" spans="1:13" ht="15.6" x14ac:dyDescent="0.3">
      <c r="A203" s="111" t="s">
        <v>288</v>
      </c>
      <c r="B203" s="111"/>
      <c r="C203" s="8">
        <v>52</v>
      </c>
      <c r="D203" s="71">
        <v>1584</v>
      </c>
      <c r="E203" s="71">
        <v>1639</v>
      </c>
      <c r="F203" s="71">
        <v>778</v>
      </c>
      <c r="G203" s="54">
        <v>831</v>
      </c>
      <c r="H203" s="71">
        <f>SUM(H199:H202)+H196</f>
        <v>1609</v>
      </c>
      <c r="I203" s="71">
        <f>SUM(I199:I202)+I196</f>
        <v>1858</v>
      </c>
      <c r="J203" s="71">
        <f t="shared" ref="J203:M203" si="50">SUM(J199:J202)+J196</f>
        <v>466</v>
      </c>
      <c r="K203" s="71">
        <f t="shared" si="50"/>
        <v>466</v>
      </c>
      <c r="L203" s="71">
        <f t="shared" si="50"/>
        <v>471</v>
      </c>
      <c r="M203" s="71">
        <f t="shared" si="50"/>
        <v>455</v>
      </c>
    </row>
    <row r="204" spans="1:13" ht="15.6" x14ac:dyDescent="0.3">
      <c r="A204" s="112" t="s">
        <v>289</v>
      </c>
      <c r="B204" s="113"/>
      <c r="C204" s="113"/>
      <c r="D204" s="113"/>
      <c r="E204" s="113"/>
      <c r="F204" s="113"/>
      <c r="G204" s="113"/>
      <c r="H204" s="113"/>
      <c r="I204" s="113"/>
      <c r="J204" s="113"/>
      <c r="K204" s="113"/>
      <c r="L204" s="113"/>
      <c r="M204" s="114"/>
    </row>
    <row r="205" spans="1:13" ht="15.6" x14ac:dyDescent="0.3">
      <c r="A205" s="115" t="s">
        <v>290</v>
      </c>
      <c r="B205" s="115"/>
      <c r="C205" s="8">
        <v>53</v>
      </c>
      <c r="D205" s="86">
        <v>54</v>
      </c>
      <c r="E205" s="86">
        <v>0</v>
      </c>
      <c r="F205" s="24">
        <v>12</v>
      </c>
      <c r="G205" s="24">
        <v>0</v>
      </c>
      <c r="H205" s="78">
        <f t="shared" ref="H205:M205" si="51">SUM(H206:H212)</f>
        <v>12</v>
      </c>
      <c r="I205" s="78">
        <f>SUM(I206:I212)</f>
        <v>115.85999999999999</v>
      </c>
      <c r="J205" s="86">
        <f t="shared" si="51"/>
        <v>22.74</v>
      </c>
      <c r="K205" s="86">
        <f t="shared" si="51"/>
        <v>33.119999999999997</v>
      </c>
      <c r="L205" s="86">
        <f t="shared" si="51"/>
        <v>0</v>
      </c>
      <c r="M205" s="86">
        <f t="shared" si="51"/>
        <v>60</v>
      </c>
    </row>
    <row r="206" spans="1:13" ht="15.6" x14ac:dyDescent="0.3">
      <c r="A206" s="110" t="s">
        <v>291</v>
      </c>
      <c r="B206" s="110"/>
      <c r="C206" s="12" t="s">
        <v>292</v>
      </c>
      <c r="D206" s="22">
        <v>0</v>
      </c>
      <c r="E206" s="22">
        <v>0</v>
      </c>
      <c r="F206" s="22">
        <v>0</v>
      </c>
      <c r="G206" s="22">
        <v>0</v>
      </c>
      <c r="H206" s="24">
        <f>F206+G206</f>
        <v>0</v>
      </c>
      <c r="I206" s="22">
        <f>J206+K206+L206+M206</f>
        <v>0</v>
      </c>
      <c r="J206" s="22">
        <v>0</v>
      </c>
      <c r="K206" s="22">
        <v>0</v>
      </c>
      <c r="L206" s="22">
        <v>0</v>
      </c>
      <c r="M206" s="23">
        <v>0</v>
      </c>
    </row>
    <row r="207" spans="1:13" ht="15.6" x14ac:dyDescent="0.3">
      <c r="A207" s="110" t="s">
        <v>293</v>
      </c>
      <c r="B207" s="110"/>
      <c r="C207" s="12" t="s">
        <v>294</v>
      </c>
      <c r="D207" s="22">
        <v>21</v>
      </c>
      <c r="E207" s="22">
        <v>0</v>
      </c>
      <c r="F207" s="22">
        <v>0</v>
      </c>
      <c r="G207" s="22">
        <v>0</v>
      </c>
      <c r="H207" s="24">
        <f t="shared" ref="H207:H212" si="52">F207+G207</f>
        <v>0</v>
      </c>
      <c r="I207" s="22">
        <f>50*1.2</f>
        <v>60</v>
      </c>
      <c r="J207" s="22">
        <v>0</v>
      </c>
      <c r="K207" s="22">
        <v>0</v>
      </c>
      <c r="L207" s="22">
        <v>0</v>
      </c>
      <c r="M207" s="22">
        <f>50*1.2</f>
        <v>60</v>
      </c>
    </row>
    <row r="208" spans="1:13" ht="30" customHeight="1" x14ac:dyDescent="0.3">
      <c r="A208" s="110" t="s">
        <v>295</v>
      </c>
      <c r="B208" s="110"/>
      <c r="C208" s="12" t="s">
        <v>296</v>
      </c>
      <c r="D208" s="22">
        <v>13</v>
      </c>
      <c r="E208" s="22">
        <v>0</v>
      </c>
      <c r="F208" s="22">
        <v>12</v>
      </c>
      <c r="G208" s="22">
        <v>0</v>
      </c>
      <c r="H208" s="24">
        <f t="shared" si="52"/>
        <v>12</v>
      </c>
      <c r="I208" s="22">
        <f>46.55*1.2</f>
        <v>55.859999999999992</v>
      </c>
      <c r="J208" s="22">
        <f>18.95*1.2</f>
        <v>22.74</v>
      </c>
      <c r="K208" s="22">
        <f>27.6*1.2</f>
        <v>33.119999999999997</v>
      </c>
      <c r="L208" s="22">
        <v>0</v>
      </c>
      <c r="M208" s="22">
        <v>0</v>
      </c>
    </row>
    <row r="209" spans="1:13" ht="15.6" x14ac:dyDescent="0.3">
      <c r="A209" s="110" t="s">
        <v>297</v>
      </c>
      <c r="B209" s="110"/>
      <c r="C209" s="12" t="s">
        <v>298</v>
      </c>
      <c r="D209" s="22">
        <v>0</v>
      </c>
      <c r="E209" s="22">
        <v>0</v>
      </c>
      <c r="F209" s="22">
        <v>0</v>
      </c>
      <c r="G209" s="22">
        <v>0</v>
      </c>
      <c r="H209" s="24">
        <f t="shared" si="52"/>
        <v>0</v>
      </c>
      <c r="I209" s="22">
        <f t="shared" ref="I209:I212" si="53">J209+K209+L209+M209</f>
        <v>0</v>
      </c>
      <c r="J209" s="22">
        <v>0</v>
      </c>
      <c r="K209" s="22">
        <v>0</v>
      </c>
      <c r="L209" s="22">
        <v>0</v>
      </c>
      <c r="M209" s="23">
        <v>0</v>
      </c>
    </row>
    <row r="210" spans="1:13" ht="30" customHeight="1" x14ac:dyDescent="0.3">
      <c r="A210" s="110" t="s">
        <v>299</v>
      </c>
      <c r="B210" s="110"/>
      <c r="C210" s="12" t="s">
        <v>300</v>
      </c>
      <c r="D210" s="22">
        <v>20</v>
      </c>
      <c r="E210" s="22">
        <v>0</v>
      </c>
      <c r="F210" s="22">
        <v>0</v>
      </c>
      <c r="G210" s="22">
        <v>0</v>
      </c>
      <c r="H210" s="24">
        <f t="shared" si="52"/>
        <v>0</v>
      </c>
      <c r="I210" s="22">
        <f t="shared" si="53"/>
        <v>0</v>
      </c>
      <c r="J210" s="22">
        <v>0</v>
      </c>
      <c r="K210" s="22">
        <v>0</v>
      </c>
      <c r="L210" s="22">
        <v>0</v>
      </c>
      <c r="M210" s="23">
        <v>0</v>
      </c>
    </row>
    <row r="211" spans="1:13" ht="15.6" x14ac:dyDescent="0.3">
      <c r="A211" s="110" t="s">
        <v>301</v>
      </c>
      <c r="B211" s="110"/>
      <c r="C211" s="12" t="s">
        <v>302</v>
      </c>
      <c r="D211" s="22">
        <v>0</v>
      </c>
      <c r="E211" s="22">
        <v>0</v>
      </c>
      <c r="F211" s="22">
        <v>0</v>
      </c>
      <c r="G211" s="22">
        <v>0</v>
      </c>
      <c r="H211" s="24">
        <f t="shared" si="52"/>
        <v>0</v>
      </c>
      <c r="I211" s="22">
        <f t="shared" si="53"/>
        <v>0</v>
      </c>
      <c r="J211" s="22">
        <v>0</v>
      </c>
      <c r="K211" s="22">
        <v>0</v>
      </c>
      <c r="L211" s="22">
        <v>0</v>
      </c>
      <c r="M211" s="23">
        <v>0</v>
      </c>
    </row>
    <row r="212" spans="1:13" ht="15.6" x14ac:dyDescent="0.3">
      <c r="A212" s="110" t="s">
        <v>303</v>
      </c>
      <c r="B212" s="110"/>
      <c r="C212" s="12" t="s">
        <v>304</v>
      </c>
      <c r="D212" s="22">
        <v>0</v>
      </c>
      <c r="E212" s="22">
        <v>0</v>
      </c>
      <c r="F212" s="22">
        <v>0</v>
      </c>
      <c r="G212" s="22">
        <v>0</v>
      </c>
      <c r="H212" s="24">
        <f t="shared" si="52"/>
        <v>0</v>
      </c>
      <c r="I212" s="22">
        <f t="shared" si="53"/>
        <v>0</v>
      </c>
      <c r="J212" s="22">
        <v>0</v>
      </c>
      <c r="K212" s="22">
        <v>0</v>
      </c>
      <c r="L212" s="22">
        <v>0</v>
      </c>
      <c r="M212" s="23">
        <v>0</v>
      </c>
    </row>
    <row r="213" spans="1:13" ht="15.6" x14ac:dyDescent="0.3">
      <c r="A213" s="115" t="s">
        <v>305</v>
      </c>
      <c r="B213" s="115"/>
      <c r="C213" s="8">
        <v>54</v>
      </c>
      <c r="D213" s="86">
        <v>54</v>
      </c>
      <c r="E213" s="86">
        <v>0</v>
      </c>
      <c r="F213" s="24">
        <v>12</v>
      </c>
      <c r="G213" s="24">
        <v>0</v>
      </c>
      <c r="H213" s="78">
        <f t="shared" ref="H213:M213" si="54">SUM(H214:H217)</f>
        <v>12</v>
      </c>
      <c r="I213" s="78">
        <f t="shared" si="54"/>
        <v>115.85999999999999</v>
      </c>
      <c r="J213" s="86">
        <f t="shared" si="54"/>
        <v>22.74</v>
      </c>
      <c r="K213" s="86">
        <f t="shared" si="54"/>
        <v>33.119999999999997</v>
      </c>
      <c r="L213" s="86">
        <f t="shared" si="54"/>
        <v>0</v>
      </c>
      <c r="M213" s="86">
        <f t="shared" si="54"/>
        <v>60</v>
      </c>
    </row>
    <row r="214" spans="1:13" ht="15.6" x14ac:dyDescent="0.3">
      <c r="A214" s="110" t="s">
        <v>306</v>
      </c>
      <c r="B214" s="110"/>
      <c r="C214" s="12" t="s">
        <v>307</v>
      </c>
      <c r="D214" s="22">
        <v>0</v>
      </c>
      <c r="E214" s="22">
        <v>0</v>
      </c>
      <c r="F214" s="22">
        <v>0</v>
      </c>
      <c r="G214" s="22">
        <v>0</v>
      </c>
      <c r="H214" s="22">
        <f>F214+G214</f>
        <v>0</v>
      </c>
      <c r="I214" s="22">
        <f>J214+K214+L214+M214</f>
        <v>0</v>
      </c>
      <c r="J214" s="22">
        <v>0</v>
      </c>
      <c r="K214" s="22">
        <v>0</v>
      </c>
      <c r="L214" s="22">
        <v>0</v>
      </c>
      <c r="M214" s="23">
        <v>0</v>
      </c>
    </row>
    <row r="215" spans="1:13" ht="15.6" x14ac:dyDescent="0.3">
      <c r="A215" s="110" t="s">
        <v>308</v>
      </c>
      <c r="B215" s="110"/>
      <c r="C215" s="12" t="s">
        <v>309</v>
      </c>
      <c r="D215" s="22">
        <v>0</v>
      </c>
      <c r="E215" s="22">
        <v>0</v>
      </c>
      <c r="F215" s="22">
        <v>0</v>
      </c>
      <c r="G215" s="22">
        <v>0</v>
      </c>
      <c r="H215" s="22">
        <f t="shared" ref="H215:H217" si="55">F215+G215</f>
        <v>0</v>
      </c>
      <c r="I215" s="22">
        <f t="shared" ref="I215:I217" si="56">J215+K215+L215+M215</f>
        <v>0</v>
      </c>
      <c r="J215" s="22">
        <v>0</v>
      </c>
      <c r="K215" s="22">
        <v>0</v>
      </c>
      <c r="L215" s="22">
        <v>0</v>
      </c>
      <c r="M215" s="23">
        <v>0</v>
      </c>
    </row>
    <row r="216" spans="1:13" ht="15.6" x14ac:dyDescent="0.3">
      <c r="A216" s="110" t="s">
        <v>310</v>
      </c>
      <c r="B216" s="110"/>
      <c r="C216" s="12" t="s">
        <v>311</v>
      </c>
      <c r="D216" s="22">
        <v>54</v>
      </c>
      <c r="E216" s="22">
        <v>0</v>
      </c>
      <c r="F216" s="22">
        <v>12</v>
      </c>
      <c r="G216" s="22">
        <v>0</v>
      </c>
      <c r="H216" s="22">
        <f t="shared" si="55"/>
        <v>12</v>
      </c>
      <c r="I216" s="22">
        <f>I205</f>
        <v>115.85999999999999</v>
      </c>
      <c r="J216" s="22">
        <f t="shared" ref="J216:M216" si="57">J205</f>
        <v>22.74</v>
      </c>
      <c r="K216" s="22">
        <f t="shared" si="57"/>
        <v>33.119999999999997</v>
      </c>
      <c r="L216" s="22">
        <f t="shared" si="57"/>
        <v>0</v>
      </c>
      <c r="M216" s="22">
        <f t="shared" si="57"/>
        <v>60</v>
      </c>
    </row>
    <row r="217" spans="1:13" ht="15.6" x14ac:dyDescent="0.3">
      <c r="A217" s="110" t="s">
        <v>312</v>
      </c>
      <c r="B217" s="110"/>
      <c r="C217" s="12" t="s">
        <v>313</v>
      </c>
      <c r="D217" s="22">
        <v>0</v>
      </c>
      <c r="E217" s="22">
        <v>0</v>
      </c>
      <c r="F217" s="22">
        <v>0</v>
      </c>
      <c r="G217" s="22">
        <v>0</v>
      </c>
      <c r="H217" s="22">
        <f t="shared" si="55"/>
        <v>0</v>
      </c>
      <c r="I217" s="22">
        <f t="shared" si="56"/>
        <v>0</v>
      </c>
      <c r="J217" s="22">
        <v>0</v>
      </c>
      <c r="K217" s="22">
        <v>0</v>
      </c>
      <c r="L217" s="22">
        <v>0</v>
      </c>
      <c r="M217" s="23">
        <v>0</v>
      </c>
    </row>
    <row r="218" spans="1:13" ht="15.6" x14ac:dyDescent="0.3">
      <c r="A218" s="116" t="s">
        <v>314</v>
      </c>
      <c r="B218" s="117"/>
      <c r="C218" s="117"/>
      <c r="D218" s="117"/>
      <c r="E218" s="117"/>
      <c r="F218" s="117"/>
      <c r="G218" s="117"/>
      <c r="H218" s="117"/>
      <c r="I218" s="117"/>
      <c r="J218" s="117"/>
      <c r="K218" s="117"/>
      <c r="L218" s="117"/>
      <c r="M218" s="118"/>
    </row>
    <row r="219" spans="1:13" ht="15.6" x14ac:dyDescent="0.3">
      <c r="A219" s="134" t="s">
        <v>315</v>
      </c>
      <c r="B219" s="134"/>
      <c r="C219" s="8">
        <v>55</v>
      </c>
      <c r="D219" s="24">
        <v>742</v>
      </c>
      <c r="E219" s="24">
        <v>696</v>
      </c>
      <c r="F219" s="24">
        <v>728</v>
      </c>
      <c r="G219" s="24"/>
      <c r="H219" s="24">
        <f>H220</f>
        <v>710</v>
      </c>
      <c r="I219" s="24">
        <f t="shared" ref="I219:M219" si="58">I220</f>
        <v>752.8599999999999</v>
      </c>
      <c r="J219" s="24">
        <f t="shared" si="58"/>
        <v>706.74</v>
      </c>
      <c r="K219" s="24">
        <f>K220</f>
        <v>704.8599999999999</v>
      </c>
      <c r="L219" s="24">
        <f t="shared" si="58"/>
        <v>698.8599999999999</v>
      </c>
      <c r="M219" s="24">
        <f t="shared" si="58"/>
        <v>752.8599999999999</v>
      </c>
    </row>
    <row r="220" spans="1:13" ht="15.6" x14ac:dyDescent="0.3">
      <c r="A220" s="134" t="s">
        <v>316</v>
      </c>
      <c r="B220" s="134"/>
      <c r="C220" s="8">
        <v>56</v>
      </c>
      <c r="D220" s="24">
        <v>742</v>
      </c>
      <c r="E220" s="24">
        <v>696</v>
      </c>
      <c r="F220" s="24">
        <v>728</v>
      </c>
      <c r="G220" s="24"/>
      <c r="H220" s="24">
        <f>H223</f>
        <v>710</v>
      </c>
      <c r="I220" s="24">
        <f>I223</f>
        <v>752.8599999999999</v>
      </c>
      <c r="J220" s="24">
        <f t="shared" ref="J220:M220" si="59">J223</f>
        <v>706.74</v>
      </c>
      <c r="K220" s="24">
        <f t="shared" si="59"/>
        <v>704.8599999999999</v>
      </c>
      <c r="L220" s="24">
        <f t="shared" si="59"/>
        <v>698.8599999999999</v>
      </c>
      <c r="M220" s="24">
        <f t="shared" si="59"/>
        <v>752.8599999999999</v>
      </c>
    </row>
    <row r="221" spans="1:13" ht="15.6" x14ac:dyDescent="0.3">
      <c r="A221" s="110" t="s">
        <v>317</v>
      </c>
      <c r="B221" s="110"/>
      <c r="C221" s="12" t="s">
        <v>318</v>
      </c>
      <c r="D221" s="22">
        <v>1010</v>
      </c>
      <c r="E221" s="22">
        <v>991</v>
      </c>
      <c r="F221" s="22">
        <v>1022</v>
      </c>
      <c r="G221" s="22"/>
      <c r="H221" s="22">
        <f>F221+G227-G228</f>
        <v>1022</v>
      </c>
      <c r="I221" s="22">
        <f>M221</f>
        <v>1137.8599999999999</v>
      </c>
      <c r="J221" s="22">
        <f>H221+J227-J228</f>
        <v>1044.74</v>
      </c>
      <c r="K221" s="22">
        <f>J221+K227-K228</f>
        <v>1077.8599999999999</v>
      </c>
      <c r="L221" s="22">
        <f>K221+L227-L228</f>
        <v>1077.8599999999999</v>
      </c>
      <c r="M221" s="22">
        <f>L221+M227-M228</f>
        <v>1137.8599999999999</v>
      </c>
    </row>
    <row r="222" spans="1:13" ht="15.6" x14ac:dyDescent="0.3">
      <c r="A222" s="110" t="s">
        <v>319</v>
      </c>
      <c r="B222" s="110"/>
      <c r="C222" s="12" t="s">
        <v>320</v>
      </c>
      <c r="D222" s="22">
        <v>268</v>
      </c>
      <c r="E222" s="22">
        <v>295</v>
      </c>
      <c r="F222" s="22">
        <v>294</v>
      </c>
      <c r="G222" s="22"/>
      <c r="H222" s="22">
        <f>F222+G201</f>
        <v>312</v>
      </c>
      <c r="I222" s="22">
        <f>H222+I201</f>
        <v>385</v>
      </c>
      <c r="J222" s="22">
        <f>H222+J201</f>
        <v>338</v>
      </c>
      <c r="K222" s="22">
        <f>J222+K201</f>
        <v>373</v>
      </c>
      <c r="L222" s="22">
        <f>K222+L201</f>
        <v>379</v>
      </c>
      <c r="M222" s="22">
        <f t="shared" ref="M222" si="60">L222+M201</f>
        <v>385</v>
      </c>
    </row>
    <row r="223" spans="1:13" ht="15.6" x14ac:dyDescent="0.3">
      <c r="A223" s="110" t="s">
        <v>321</v>
      </c>
      <c r="B223" s="110"/>
      <c r="C223" s="12" t="s">
        <v>322</v>
      </c>
      <c r="D223" s="22">
        <v>742</v>
      </c>
      <c r="E223" s="22">
        <v>696</v>
      </c>
      <c r="F223" s="22">
        <v>728</v>
      </c>
      <c r="G223" s="22"/>
      <c r="H223" s="22">
        <f>H221-H222</f>
        <v>710</v>
      </c>
      <c r="I223" s="22">
        <f t="shared" ref="I223:M223" si="61">I221-I222</f>
        <v>752.8599999999999</v>
      </c>
      <c r="J223" s="22">
        <f t="shared" si="61"/>
        <v>706.74</v>
      </c>
      <c r="K223" s="22">
        <f t="shared" si="61"/>
        <v>704.8599999999999</v>
      </c>
      <c r="L223" s="22">
        <f t="shared" si="61"/>
        <v>698.8599999999999</v>
      </c>
      <c r="M223" s="22">
        <f t="shared" si="61"/>
        <v>752.8599999999999</v>
      </c>
    </row>
    <row r="224" spans="1:13" ht="3" customHeight="1" x14ac:dyDescent="0.3">
      <c r="A224" s="48"/>
      <c r="B224" s="48"/>
      <c r="C224" s="49"/>
      <c r="D224" s="53"/>
      <c r="E224" s="53"/>
      <c r="F224" s="53"/>
      <c r="G224" s="53"/>
      <c r="H224" s="53"/>
      <c r="I224" s="53"/>
      <c r="J224" s="50"/>
      <c r="K224" s="50"/>
      <c r="L224" s="50"/>
      <c r="M224" s="50"/>
    </row>
    <row r="225" spans="1:13" ht="30" customHeight="1" x14ac:dyDescent="0.3">
      <c r="A225" s="103" t="s">
        <v>432</v>
      </c>
      <c r="B225" s="104"/>
      <c r="C225" s="107" t="s">
        <v>20</v>
      </c>
      <c r="D225" s="107" t="s">
        <v>450</v>
      </c>
      <c r="E225" s="107" t="s">
        <v>448</v>
      </c>
      <c r="F225" s="94" t="s">
        <v>451</v>
      </c>
      <c r="G225" s="94" t="s">
        <v>452</v>
      </c>
      <c r="H225" s="169" t="s">
        <v>453</v>
      </c>
      <c r="I225" s="107" t="s">
        <v>454</v>
      </c>
      <c r="J225" s="108" t="s">
        <v>21</v>
      </c>
      <c r="K225" s="108"/>
      <c r="L225" s="108"/>
      <c r="M225" s="108"/>
    </row>
    <row r="226" spans="1:13" ht="30" customHeight="1" x14ac:dyDescent="0.3">
      <c r="A226" s="105"/>
      <c r="B226" s="106"/>
      <c r="C226" s="107"/>
      <c r="D226" s="107"/>
      <c r="E226" s="107"/>
      <c r="F226" s="94"/>
      <c r="G226" s="94"/>
      <c r="H226" s="169"/>
      <c r="I226" s="107"/>
      <c r="J226" s="47">
        <v>1</v>
      </c>
      <c r="K226" s="47">
        <v>2</v>
      </c>
      <c r="L226" s="47">
        <v>3</v>
      </c>
      <c r="M226" s="47">
        <v>4</v>
      </c>
    </row>
    <row r="227" spans="1:13" ht="15.6" x14ac:dyDescent="0.3">
      <c r="A227" s="110" t="s">
        <v>323</v>
      </c>
      <c r="B227" s="110"/>
      <c r="C227" s="12" t="s">
        <v>324</v>
      </c>
      <c r="D227" s="22">
        <v>56</v>
      </c>
      <c r="E227" s="22">
        <v>0</v>
      </c>
      <c r="F227" s="22">
        <v>12</v>
      </c>
      <c r="G227" s="22">
        <v>0</v>
      </c>
      <c r="H227" s="78">
        <f>F227+G227</f>
        <v>12</v>
      </c>
      <c r="I227" s="78">
        <f>J227+K227+L227+M227</f>
        <v>115.86</v>
      </c>
      <c r="J227" s="78">
        <f>J205</f>
        <v>22.74</v>
      </c>
      <c r="K227" s="78">
        <f t="shared" ref="K227:M227" si="62">K205</f>
        <v>33.119999999999997</v>
      </c>
      <c r="L227" s="78">
        <f t="shared" si="62"/>
        <v>0</v>
      </c>
      <c r="M227" s="78">
        <f t="shared" si="62"/>
        <v>60</v>
      </c>
    </row>
    <row r="228" spans="1:13" ht="15.6" x14ac:dyDescent="0.3">
      <c r="A228" s="110" t="s">
        <v>325</v>
      </c>
      <c r="B228" s="110"/>
      <c r="C228" s="12" t="s">
        <v>326</v>
      </c>
      <c r="D228" s="22">
        <v>5</v>
      </c>
      <c r="E228" s="22">
        <v>0</v>
      </c>
      <c r="F228" s="22">
        <v>0</v>
      </c>
      <c r="G228" s="22">
        <v>0</v>
      </c>
      <c r="H228" s="22">
        <f t="shared" ref="H228:H229" si="63">F228+G228</f>
        <v>0</v>
      </c>
      <c r="I228" s="22">
        <f>J228+K228+L228+M228</f>
        <v>0</v>
      </c>
      <c r="J228" s="22">
        <v>0</v>
      </c>
      <c r="K228" s="22">
        <v>0</v>
      </c>
      <c r="L228" s="22">
        <v>0</v>
      </c>
      <c r="M228" s="23">
        <v>0</v>
      </c>
    </row>
    <row r="229" spans="1:13" ht="15.6" x14ac:dyDescent="0.3">
      <c r="A229" s="110" t="s">
        <v>327</v>
      </c>
      <c r="B229" s="110"/>
      <c r="C229" s="12" t="s">
        <v>328</v>
      </c>
      <c r="D229" s="22">
        <v>9</v>
      </c>
      <c r="E229" s="22">
        <v>-36</v>
      </c>
      <c r="F229" s="22">
        <v>-14</v>
      </c>
      <c r="G229" s="22">
        <v>-18</v>
      </c>
      <c r="H229" s="78">
        <f t="shared" si="63"/>
        <v>-32</v>
      </c>
      <c r="I229" s="78">
        <f>I227-I201</f>
        <v>42.86</v>
      </c>
      <c r="J229" s="78">
        <f t="shared" ref="J229:M229" si="64">J227-J201</f>
        <v>-3.2600000000000016</v>
      </c>
      <c r="K229" s="78">
        <f t="shared" si="64"/>
        <v>-1.8800000000000026</v>
      </c>
      <c r="L229" s="78">
        <f t="shared" si="64"/>
        <v>-6</v>
      </c>
      <c r="M229" s="78">
        <f t="shared" si="64"/>
        <v>54</v>
      </c>
    </row>
    <row r="230" spans="1:13" ht="15.6" x14ac:dyDescent="0.3">
      <c r="A230" s="134" t="s">
        <v>329</v>
      </c>
      <c r="B230" s="134"/>
      <c r="C230" s="12">
        <v>57</v>
      </c>
      <c r="D230" s="24">
        <v>525</v>
      </c>
      <c r="E230" s="24">
        <v>560.26</v>
      </c>
      <c r="F230" s="24">
        <v>491</v>
      </c>
      <c r="G230" s="24"/>
      <c r="H230" s="24">
        <f>F230+G191</f>
        <v>517</v>
      </c>
      <c r="I230" s="24">
        <f>M230</f>
        <v>551.79999999999995</v>
      </c>
      <c r="J230" s="24">
        <f>H230+J191-J205</f>
        <v>530.79999999999995</v>
      </c>
      <c r="K230" s="24">
        <f>J230+K191-K205</f>
        <v>537.79999999999995</v>
      </c>
      <c r="L230" s="24">
        <f>K230+L191-L205</f>
        <v>545.79999999999995</v>
      </c>
      <c r="M230" s="24">
        <f>L230+M191-M205</f>
        <v>551.79999999999995</v>
      </c>
    </row>
    <row r="231" spans="1:13" ht="15.6" x14ac:dyDescent="0.3">
      <c r="A231" s="110" t="s">
        <v>330</v>
      </c>
      <c r="B231" s="110"/>
      <c r="C231" s="12" t="s">
        <v>331</v>
      </c>
      <c r="D231" s="22">
        <v>192</v>
      </c>
      <c r="E231" s="22">
        <v>265.26000000000005</v>
      </c>
      <c r="F231" s="22">
        <v>134</v>
      </c>
      <c r="G231" s="22"/>
      <c r="H231" s="61">
        <f>H194</f>
        <v>140.00000000000006</v>
      </c>
      <c r="I231" s="61">
        <f>M231</f>
        <v>178.83000000000015</v>
      </c>
      <c r="J231" s="61">
        <f>H231+J184</f>
        <v>110.92000000000013</v>
      </c>
      <c r="K231" s="61">
        <f t="shared" ref="K231:M231" si="65">K194</f>
        <v>144.82000000000019</v>
      </c>
      <c r="L231" s="61">
        <f t="shared" si="65"/>
        <v>160.74000000000018</v>
      </c>
      <c r="M231" s="61">
        <f t="shared" si="65"/>
        <v>178.83000000000015</v>
      </c>
    </row>
    <row r="232" spans="1:13" ht="15.6" x14ac:dyDescent="0.3">
      <c r="A232" s="134" t="s">
        <v>332</v>
      </c>
      <c r="B232" s="134"/>
      <c r="C232" s="16">
        <v>58</v>
      </c>
      <c r="D232" s="24">
        <v>1267</v>
      </c>
      <c r="E232" s="24">
        <v>1256.26</v>
      </c>
      <c r="F232" s="24">
        <v>1219</v>
      </c>
      <c r="G232" s="24"/>
      <c r="H232" s="24">
        <f>H230+H219</f>
        <v>1227</v>
      </c>
      <c r="I232" s="24">
        <f t="shared" ref="I232:M232" si="66">I219+I230</f>
        <v>1304.6599999999999</v>
      </c>
      <c r="J232" s="24">
        <f>J219+J230</f>
        <v>1237.54</v>
      </c>
      <c r="K232" s="24">
        <f t="shared" si="66"/>
        <v>1242.6599999999999</v>
      </c>
      <c r="L232" s="24">
        <f t="shared" si="66"/>
        <v>1244.6599999999999</v>
      </c>
      <c r="M232" s="24">
        <f t="shared" si="66"/>
        <v>1304.6599999999999</v>
      </c>
    </row>
    <row r="233" spans="1:13" ht="15.6" x14ac:dyDescent="0.3">
      <c r="A233" s="134" t="s">
        <v>333</v>
      </c>
      <c r="B233" s="134"/>
      <c r="C233" s="16">
        <v>59</v>
      </c>
      <c r="D233" s="24">
        <v>963</v>
      </c>
      <c r="E233" s="24">
        <v>946.67000000000007</v>
      </c>
      <c r="F233" s="24">
        <v>967</v>
      </c>
      <c r="G233" s="24"/>
      <c r="H233" s="24">
        <f>F233-G121+G137-G143</f>
        <v>967.16000000000008</v>
      </c>
      <c r="I233" s="24">
        <f>M233</f>
        <v>1015.1600000000001</v>
      </c>
      <c r="J233" s="24">
        <f>H233+J137-J143-J120</f>
        <v>965.16000000000008</v>
      </c>
      <c r="K233" s="24">
        <f>J233+K137-K143-K121</f>
        <v>978.16000000000008</v>
      </c>
      <c r="L233" s="24">
        <f>K233+L137-L143-L121</f>
        <v>988.66000000000008</v>
      </c>
      <c r="M233" s="24">
        <f>L233+M137-M143-M121</f>
        <v>1015.1600000000001</v>
      </c>
    </row>
    <row r="234" spans="1:13" ht="15.6" x14ac:dyDescent="0.3">
      <c r="A234" s="134" t="s">
        <v>334</v>
      </c>
      <c r="B234" s="134"/>
      <c r="C234" s="16">
        <v>60</v>
      </c>
      <c r="D234" s="24">
        <v>304</v>
      </c>
      <c r="E234" s="24">
        <v>309.58999999999992</v>
      </c>
      <c r="F234" s="24">
        <v>252</v>
      </c>
      <c r="G234" s="24"/>
      <c r="H234" s="24">
        <f>H232-H233</f>
        <v>259.83999999999992</v>
      </c>
      <c r="I234" s="24">
        <f t="shared" ref="I234:M234" si="67">I232-I233</f>
        <v>289.49999999999977</v>
      </c>
      <c r="J234" s="24">
        <f>J232-J233+0.2</f>
        <v>272.57999999999987</v>
      </c>
      <c r="K234" s="24">
        <f t="shared" si="67"/>
        <v>264.49999999999977</v>
      </c>
      <c r="L234" s="24">
        <f t="shared" si="67"/>
        <v>255.99999999999977</v>
      </c>
      <c r="M234" s="24">
        <f t="shared" si="67"/>
        <v>289.49999999999977</v>
      </c>
    </row>
    <row r="235" spans="1:13" ht="15.6" x14ac:dyDescent="0.3">
      <c r="A235" s="134" t="s">
        <v>335</v>
      </c>
      <c r="B235" s="134"/>
      <c r="C235" s="16">
        <v>61</v>
      </c>
      <c r="D235" s="24">
        <v>0</v>
      </c>
      <c r="E235" s="24">
        <v>0</v>
      </c>
      <c r="F235" s="24">
        <v>0</v>
      </c>
      <c r="G235" s="24">
        <v>0</v>
      </c>
      <c r="H235" s="24">
        <v>0</v>
      </c>
      <c r="I235" s="24">
        <v>0</v>
      </c>
      <c r="J235" s="24">
        <v>0</v>
      </c>
      <c r="K235" s="24">
        <v>0</v>
      </c>
      <c r="L235" s="24">
        <v>0</v>
      </c>
      <c r="M235" s="24">
        <v>0</v>
      </c>
    </row>
    <row r="236" spans="1:13" ht="15.6" x14ac:dyDescent="0.3">
      <c r="A236" s="116" t="s">
        <v>336</v>
      </c>
      <c r="B236" s="117"/>
      <c r="C236" s="117"/>
      <c r="D236" s="117"/>
      <c r="E236" s="117"/>
      <c r="F236" s="117"/>
      <c r="G236" s="117"/>
      <c r="H236" s="117"/>
      <c r="I236" s="117"/>
      <c r="J236" s="117"/>
      <c r="K236" s="117"/>
      <c r="L236" s="117"/>
      <c r="M236" s="118"/>
    </row>
    <row r="237" spans="1:13" ht="15.6" x14ac:dyDescent="0.3">
      <c r="A237" s="134" t="s">
        <v>337</v>
      </c>
      <c r="B237" s="134"/>
      <c r="C237" s="8">
        <v>62</v>
      </c>
      <c r="D237" s="8">
        <v>0</v>
      </c>
      <c r="E237" s="8">
        <f t="shared" ref="E237:M237" si="68">SUM(E238:E240)</f>
        <v>0</v>
      </c>
      <c r="F237" s="8">
        <v>0</v>
      </c>
      <c r="G237" s="8">
        <v>0</v>
      </c>
      <c r="H237" s="8">
        <f t="shared" si="68"/>
        <v>0</v>
      </c>
      <c r="I237" s="8">
        <f t="shared" si="68"/>
        <v>0</v>
      </c>
      <c r="J237" s="8">
        <f t="shared" si="68"/>
        <v>0</v>
      </c>
      <c r="K237" s="8">
        <f t="shared" si="68"/>
        <v>0</v>
      </c>
      <c r="L237" s="8">
        <f t="shared" si="68"/>
        <v>0</v>
      </c>
      <c r="M237" s="8">
        <f t="shared" si="68"/>
        <v>0</v>
      </c>
    </row>
    <row r="238" spans="1:13" ht="15.6" x14ac:dyDescent="0.3">
      <c r="A238" s="110" t="s">
        <v>338</v>
      </c>
      <c r="B238" s="110"/>
      <c r="C238" s="12" t="s">
        <v>339</v>
      </c>
      <c r="D238" s="9">
        <v>0</v>
      </c>
      <c r="E238" s="9">
        <v>0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  <c r="L238" s="9">
        <v>0</v>
      </c>
      <c r="M238" s="9">
        <v>0</v>
      </c>
    </row>
    <row r="239" spans="1:13" ht="15.6" x14ac:dyDescent="0.3">
      <c r="A239" s="110" t="s">
        <v>340</v>
      </c>
      <c r="B239" s="110"/>
      <c r="C239" s="12" t="s">
        <v>341</v>
      </c>
      <c r="D239" s="9">
        <v>0</v>
      </c>
      <c r="E239" s="9">
        <v>0</v>
      </c>
      <c r="F239" s="9">
        <v>0</v>
      </c>
      <c r="G239" s="9">
        <v>0</v>
      </c>
      <c r="H239" s="9">
        <v>0</v>
      </c>
      <c r="I239" s="9">
        <v>0</v>
      </c>
      <c r="J239" s="9">
        <v>0</v>
      </c>
      <c r="K239" s="9">
        <v>0</v>
      </c>
      <c r="L239" s="9">
        <v>0</v>
      </c>
      <c r="M239" s="9">
        <v>0</v>
      </c>
    </row>
    <row r="240" spans="1:13" ht="15.6" x14ac:dyDescent="0.3">
      <c r="A240" s="110" t="s">
        <v>342</v>
      </c>
      <c r="B240" s="110"/>
      <c r="C240" s="12" t="s">
        <v>343</v>
      </c>
      <c r="D240" s="9">
        <v>0</v>
      </c>
      <c r="E240" s="9">
        <v>0</v>
      </c>
      <c r="F240" s="9">
        <v>0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</row>
    <row r="241" spans="1:13" ht="15.6" x14ac:dyDescent="0.3">
      <c r="A241" s="134" t="s">
        <v>344</v>
      </c>
      <c r="B241" s="134"/>
      <c r="C241" s="8">
        <v>63</v>
      </c>
      <c r="D241" s="8">
        <v>0</v>
      </c>
      <c r="E241" s="8">
        <f t="shared" ref="E241:M241" si="69">E242+E245+E248</f>
        <v>0</v>
      </c>
      <c r="F241" s="8">
        <v>0</v>
      </c>
      <c r="G241" s="8">
        <v>0</v>
      </c>
      <c r="H241" s="8">
        <f t="shared" si="69"/>
        <v>0</v>
      </c>
      <c r="I241" s="8">
        <f t="shared" si="69"/>
        <v>0</v>
      </c>
      <c r="J241" s="8">
        <f t="shared" si="69"/>
        <v>0</v>
      </c>
      <c r="K241" s="8">
        <f t="shared" si="69"/>
        <v>0</v>
      </c>
      <c r="L241" s="8">
        <f t="shared" si="69"/>
        <v>0</v>
      </c>
      <c r="M241" s="8">
        <f t="shared" si="69"/>
        <v>0</v>
      </c>
    </row>
    <row r="242" spans="1:13" ht="16.2" x14ac:dyDescent="0.3">
      <c r="A242" s="161" t="s">
        <v>345</v>
      </c>
      <c r="B242" s="161"/>
      <c r="C242" s="13" t="s">
        <v>346</v>
      </c>
      <c r="D242" s="87">
        <v>0</v>
      </c>
      <c r="E242" s="87">
        <f t="shared" ref="E242:M242" si="70">SUM(E243:E244)</f>
        <v>0</v>
      </c>
      <c r="F242" s="87">
        <v>0</v>
      </c>
      <c r="G242" s="87">
        <v>0</v>
      </c>
      <c r="H242" s="87">
        <f t="shared" si="70"/>
        <v>0</v>
      </c>
      <c r="I242" s="87">
        <f t="shared" si="70"/>
        <v>0</v>
      </c>
      <c r="J242" s="87">
        <f t="shared" si="70"/>
        <v>0</v>
      </c>
      <c r="K242" s="87">
        <f t="shared" si="70"/>
        <v>0</v>
      </c>
      <c r="L242" s="87">
        <f t="shared" si="70"/>
        <v>0</v>
      </c>
      <c r="M242" s="87">
        <f t="shared" si="70"/>
        <v>0</v>
      </c>
    </row>
    <row r="243" spans="1:13" ht="15.6" x14ac:dyDescent="0.3">
      <c r="A243" s="110" t="s">
        <v>272</v>
      </c>
      <c r="B243" s="110"/>
      <c r="C243" s="12" t="s">
        <v>347</v>
      </c>
      <c r="D243" s="9">
        <v>0</v>
      </c>
      <c r="E243" s="9">
        <v>0</v>
      </c>
      <c r="F243" s="9">
        <v>0</v>
      </c>
      <c r="G243" s="9">
        <v>0</v>
      </c>
      <c r="H243" s="9">
        <v>0</v>
      </c>
      <c r="I243" s="9">
        <v>0</v>
      </c>
      <c r="J243" s="9">
        <v>0</v>
      </c>
      <c r="K243" s="9">
        <v>0</v>
      </c>
      <c r="L243" s="9">
        <v>0</v>
      </c>
      <c r="M243" s="9">
        <v>0</v>
      </c>
    </row>
    <row r="244" spans="1:13" ht="15.6" x14ac:dyDescent="0.3">
      <c r="A244" s="110" t="s">
        <v>274</v>
      </c>
      <c r="B244" s="110"/>
      <c r="C244" s="12" t="s">
        <v>348</v>
      </c>
      <c r="D244" s="9">
        <v>0</v>
      </c>
      <c r="E244" s="9">
        <v>0</v>
      </c>
      <c r="F244" s="9">
        <v>0</v>
      </c>
      <c r="G244" s="9">
        <v>0</v>
      </c>
      <c r="H244" s="9">
        <v>0</v>
      </c>
      <c r="I244" s="9">
        <v>0</v>
      </c>
      <c r="J244" s="9">
        <v>0</v>
      </c>
      <c r="K244" s="9">
        <v>0</v>
      </c>
      <c r="L244" s="9">
        <v>0</v>
      </c>
      <c r="M244" s="9">
        <v>0</v>
      </c>
    </row>
    <row r="245" spans="1:13" ht="16.2" x14ac:dyDescent="0.3">
      <c r="A245" s="161" t="s">
        <v>349</v>
      </c>
      <c r="B245" s="161"/>
      <c r="C245" s="13" t="s">
        <v>350</v>
      </c>
      <c r="D245" s="87">
        <v>0</v>
      </c>
      <c r="E245" s="87">
        <f>SUM(E246:E247)</f>
        <v>0</v>
      </c>
      <c r="F245" s="87">
        <v>0</v>
      </c>
      <c r="G245" s="87">
        <v>0</v>
      </c>
      <c r="H245" s="87">
        <f t="shared" ref="H245:M245" si="71">SUM(H246:H247)</f>
        <v>0</v>
      </c>
      <c r="I245" s="87">
        <f t="shared" si="71"/>
        <v>0</v>
      </c>
      <c r="J245" s="87">
        <f t="shared" si="71"/>
        <v>0</v>
      </c>
      <c r="K245" s="87">
        <f t="shared" si="71"/>
        <v>0</v>
      </c>
      <c r="L245" s="87">
        <f t="shared" si="71"/>
        <v>0</v>
      </c>
      <c r="M245" s="87">
        <f t="shared" si="71"/>
        <v>0</v>
      </c>
    </row>
    <row r="246" spans="1:13" ht="15.6" x14ac:dyDescent="0.3">
      <c r="A246" s="110" t="s">
        <v>272</v>
      </c>
      <c r="B246" s="110"/>
      <c r="C246" s="12" t="s">
        <v>351</v>
      </c>
      <c r="D246" s="9">
        <v>0</v>
      </c>
      <c r="E246" s="9">
        <v>0</v>
      </c>
      <c r="F246" s="9">
        <v>0</v>
      </c>
      <c r="G246" s="9">
        <v>0</v>
      </c>
      <c r="H246" s="9">
        <v>0</v>
      </c>
      <c r="I246" s="9">
        <v>0</v>
      </c>
      <c r="J246" s="9">
        <v>0</v>
      </c>
      <c r="K246" s="9">
        <v>0</v>
      </c>
      <c r="L246" s="9">
        <v>0</v>
      </c>
      <c r="M246" s="9">
        <v>0</v>
      </c>
    </row>
    <row r="247" spans="1:13" ht="15.6" x14ac:dyDescent="0.3">
      <c r="A247" s="110" t="s">
        <v>274</v>
      </c>
      <c r="B247" s="110"/>
      <c r="C247" s="12" t="s">
        <v>352</v>
      </c>
      <c r="D247" s="9">
        <v>0</v>
      </c>
      <c r="E247" s="9">
        <v>0</v>
      </c>
      <c r="F247" s="9">
        <v>0</v>
      </c>
      <c r="G247" s="9">
        <v>0</v>
      </c>
      <c r="H247" s="9">
        <v>0</v>
      </c>
      <c r="I247" s="9">
        <v>0</v>
      </c>
      <c r="J247" s="9">
        <v>0</v>
      </c>
      <c r="K247" s="9">
        <v>0</v>
      </c>
      <c r="L247" s="9">
        <v>0</v>
      </c>
      <c r="M247" s="9">
        <v>0</v>
      </c>
    </row>
    <row r="248" spans="1:13" ht="16.2" x14ac:dyDescent="0.3">
      <c r="A248" s="161" t="s">
        <v>353</v>
      </c>
      <c r="B248" s="161"/>
      <c r="C248" s="13" t="s">
        <v>354</v>
      </c>
      <c r="D248" s="87">
        <v>0</v>
      </c>
      <c r="E248" s="87">
        <f t="shared" ref="E248:M248" si="72">SUM(E249:E250)</f>
        <v>0</v>
      </c>
      <c r="F248" s="87">
        <v>0</v>
      </c>
      <c r="G248" s="87">
        <v>0</v>
      </c>
      <c r="H248" s="87">
        <f t="shared" si="72"/>
        <v>0</v>
      </c>
      <c r="I248" s="87">
        <f t="shared" si="72"/>
        <v>0</v>
      </c>
      <c r="J248" s="87">
        <f t="shared" si="72"/>
        <v>0</v>
      </c>
      <c r="K248" s="87">
        <f t="shared" si="72"/>
        <v>0</v>
      </c>
      <c r="L248" s="87">
        <f t="shared" si="72"/>
        <v>0</v>
      </c>
      <c r="M248" s="87">
        <f t="shared" si="72"/>
        <v>0</v>
      </c>
    </row>
    <row r="249" spans="1:13" ht="15.6" x14ac:dyDescent="0.3">
      <c r="A249" s="110" t="s">
        <v>272</v>
      </c>
      <c r="B249" s="110"/>
      <c r="C249" s="12" t="s">
        <v>355</v>
      </c>
      <c r="D249" s="88">
        <v>0</v>
      </c>
      <c r="E249" s="88">
        <v>0</v>
      </c>
      <c r="F249" s="88">
        <v>0</v>
      </c>
      <c r="G249" s="88">
        <v>0</v>
      </c>
      <c r="H249" s="88">
        <v>0</v>
      </c>
      <c r="I249" s="9">
        <v>0</v>
      </c>
      <c r="J249" s="9">
        <v>0</v>
      </c>
      <c r="K249" s="9">
        <v>0</v>
      </c>
      <c r="L249" s="9">
        <v>0</v>
      </c>
      <c r="M249" s="9">
        <v>0</v>
      </c>
    </row>
    <row r="250" spans="1:13" ht="15.6" x14ac:dyDescent="0.3">
      <c r="A250" s="110" t="s">
        <v>274</v>
      </c>
      <c r="B250" s="110"/>
      <c r="C250" s="12" t="s">
        <v>356</v>
      </c>
      <c r="D250" s="88">
        <v>0</v>
      </c>
      <c r="E250" s="88">
        <v>0</v>
      </c>
      <c r="F250" s="88">
        <v>0</v>
      </c>
      <c r="G250" s="88">
        <v>0</v>
      </c>
      <c r="H250" s="88">
        <v>0</v>
      </c>
      <c r="I250" s="9">
        <v>0</v>
      </c>
      <c r="J250" s="9">
        <v>0</v>
      </c>
      <c r="K250" s="9">
        <v>0</v>
      </c>
      <c r="L250" s="9">
        <v>0</v>
      </c>
      <c r="M250" s="9">
        <v>0</v>
      </c>
    </row>
    <row r="251" spans="1:13" ht="15.6" x14ac:dyDescent="0.3">
      <c r="A251" s="134" t="s">
        <v>357</v>
      </c>
      <c r="B251" s="134"/>
      <c r="C251" s="8">
        <v>64</v>
      </c>
      <c r="D251" s="15">
        <v>0</v>
      </c>
      <c r="E251" s="15">
        <f t="shared" ref="E251:M251" si="73">SUM(E252:E254)</f>
        <v>0</v>
      </c>
      <c r="F251" s="15">
        <v>0</v>
      </c>
      <c r="G251" s="15">
        <v>0</v>
      </c>
      <c r="H251" s="15">
        <f t="shared" si="73"/>
        <v>0</v>
      </c>
      <c r="I251" s="15">
        <f t="shared" si="73"/>
        <v>0</v>
      </c>
      <c r="J251" s="15">
        <f t="shared" si="73"/>
        <v>0</v>
      </c>
      <c r="K251" s="15">
        <f t="shared" si="73"/>
        <v>0</v>
      </c>
      <c r="L251" s="15">
        <f t="shared" si="73"/>
        <v>0</v>
      </c>
      <c r="M251" s="15">
        <f t="shared" si="73"/>
        <v>0</v>
      </c>
    </row>
    <row r="252" spans="1:13" ht="15.6" x14ac:dyDescent="0.3">
      <c r="A252" s="110" t="s">
        <v>338</v>
      </c>
      <c r="B252" s="110"/>
      <c r="C252" s="12" t="s">
        <v>358</v>
      </c>
      <c r="D252" s="88">
        <v>0</v>
      </c>
      <c r="E252" s="88">
        <v>0</v>
      </c>
      <c r="F252" s="88">
        <v>0</v>
      </c>
      <c r="G252" s="88">
        <v>0</v>
      </c>
      <c r="H252" s="88">
        <v>0</v>
      </c>
      <c r="I252" s="9">
        <v>0</v>
      </c>
      <c r="J252" s="9">
        <v>0</v>
      </c>
      <c r="K252" s="9">
        <v>0</v>
      </c>
      <c r="L252" s="9">
        <v>0</v>
      </c>
      <c r="M252" s="9">
        <v>0</v>
      </c>
    </row>
    <row r="253" spans="1:13" ht="15.6" x14ac:dyDescent="0.3">
      <c r="A253" s="110" t="s">
        <v>340</v>
      </c>
      <c r="B253" s="110"/>
      <c r="C253" s="12" t="s">
        <v>359</v>
      </c>
      <c r="D253" s="88">
        <v>0</v>
      </c>
      <c r="E253" s="88">
        <v>0</v>
      </c>
      <c r="F253" s="88">
        <v>0</v>
      </c>
      <c r="G253" s="88">
        <v>0</v>
      </c>
      <c r="H253" s="88">
        <v>0</v>
      </c>
      <c r="I253" s="9">
        <v>0</v>
      </c>
      <c r="J253" s="9">
        <v>0</v>
      </c>
      <c r="K253" s="9">
        <v>0</v>
      </c>
      <c r="L253" s="9">
        <v>0</v>
      </c>
      <c r="M253" s="9">
        <v>0</v>
      </c>
    </row>
    <row r="254" spans="1:13" ht="15.6" x14ac:dyDescent="0.3">
      <c r="A254" s="110" t="s">
        <v>342</v>
      </c>
      <c r="B254" s="110"/>
      <c r="C254" s="12" t="s">
        <v>360</v>
      </c>
      <c r="D254" s="88">
        <v>0</v>
      </c>
      <c r="E254" s="88">
        <v>0</v>
      </c>
      <c r="F254" s="88">
        <v>0</v>
      </c>
      <c r="G254" s="88">
        <v>0</v>
      </c>
      <c r="H254" s="88">
        <v>0</v>
      </c>
      <c r="I254" s="9">
        <v>0</v>
      </c>
      <c r="J254" s="9">
        <v>0</v>
      </c>
      <c r="K254" s="9">
        <v>0</v>
      </c>
      <c r="L254" s="9">
        <v>0</v>
      </c>
      <c r="M254" s="9">
        <v>0</v>
      </c>
    </row>
    <row r="255" spans="1:13" ht="15.6" x14ac:dyDescent="0.3">
      <c r="A255" s="116" t="s">
        <v>361</v>
      </c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8"/>
    </row>
    <row r="256" spans="1:13" ht="30" customHeight="1" x14ac:dyDescent="0.3">
      <c r="A256" s="134" t="s">
        <v>425</v>
      </c>
      <c r="B256" s="134"/>
      <c r="C256" s="8">
        <v>65</v>
      </c>
      <c r="D256" s="89">
        <f>D137/D232*100</f>
        <v>10.812943962115233</v>
      </c>
      <c r="E256" s="89">
        <f>E137/E232*100</f>
        <v>4.7370767197872992</v>
      </c>
      <c r="F256" s="89">
        <v>4.1017227235438884</v>
      </c>
      <c r="G256" s="89"/>
      <c r="H256" s="89">
        <f>H137/H232*100</f>
        <v>5.0790546047269762</v>
      </c>
      <c r="I256" s="89">
        <f t="shared" ref="I256:M256" si="74">I137/I232*100</f>
        <v>9.1977986601873294</v>
      </c>
      <c r="J256" s="89">
        <f t="shared" si="74"/>
        <v>0.16161093782827224</v>
      </c>
      <c r="K256" s="89">
        <f t="shared" si="74"/>
        <v>2.5751211111647598</v>
      </c>
      <c r="L256" s="89">
        <f t="shared" si="74"/>
        <v>2.1692671090900331</v>
      </c>
      <c r="M256" s="89">
        <f t="shared" si="74"/>
        <v>4.522251007925437</v>
      </c>
    </row>
    <row r="257" spans="1:13" ht="45.15" customHeight="1" x14ac:dyDescent="0.3">
      <c r="A257" s="134" t="s">
        <v>426</v>
      </c>
      <c r="B257" s="134"/>
      <c r="C257" s="8">
        <v>66</v>
      </c>
      <c r="D257" s="89">
        <f>D137/D30*100</f>
        <v>7.8151739874500858</v>
      </c>
      <c r="E257" s="89">
        <f t="shared" ref="E257" si="75">E137/E30*100</f>
        <v>3.5195524118189727</v>
      </c>
      <c r="F257" s="89">
        <v>6.1425061425061429</v>
      </c>
      <c r="G257" s="89"/>
      <c r="H257" s="89">
        <f t="shared" ref="H257:M257" si="76">H137/H30*100</f>
        <v>3.7429429429429431</v>
      </c>
      <c r="I257" s="89">
        <f t="shared" si="76"/>
        <v>6.0210737581535376</v>
      </c>
      <c r="J257" s="89">
        <f t="shared" si="76"/>
        <v>0.44444444444444442</v>
      </c>
      <c r="K257" s="89">
        <f t="shared" si="76"/>
        <v>6.4</v>
      </c>
      <c r="L257" s="89">
        <f t="shared" si="76"/>
        <v>5.4</v>
      </c>
      <c r="M257" s="89">
        <f t="shared" si="76"/>
        <v>10.865561694290976</v>
      </c>
    </row>
    <row r="258" spans="1:13" ht="45.15" customHeight="1" x14ac:dyDescent="0.3">
      <c r="A258" s="134" t="s">
        <v>427</v>
      </c>
      <c r="B258" s="134"/>
      <c r="C258" s="8">
        <v>67</v>
      </c>
      <c r="D258" s="89">
        <f>D233/(D235+D234)</f>
        <v>3.1677631578947367</v>
      </c>
      <c r="E258" s="89">
        <f>E233/(E235+E234)</f>
        <v>3.0578184049872421</v>
      </c>
      <c r="F258" s="89">
        <v>3.8373015873015874</v>
      </c>
      <c r="G258" s="89"/>
      <c r="H258" s="89">
        <f>H233/(H235+H234)</f>
        <v>3.7221366995073906</v>
      </c>
      <c r="I258" s="89">
        <f>I233/(I235+I234)</f>
        <v>3.5065975820379998</v>
      </c>
      <c r="J258" s="89">
        <f t="shared" ref="J258:M258" si="77">J233/(J235+J234)</f>
        <v>3.5408320493066276</v>
      </c>
      <c r="K258" s="89">
        <f t="shared" si="77"/>
        <v>3.6981474480151264</v>
      </c>
      <c r="L258" s="89">
        <f t="shared" si="77"/>
        <v>3.8619531250000039</v>
      </c>
      <c r="M258" s="89">
        <f t="shared" si="77"/>
        <v>3.5065975820379998</v>
      </c>
    </row>
    <row r="259" spans="1:13" ht="30" customHeight="1" x14ac:dyDescent="0.3">
      <c r="A259" s="134" t="s">
        <v>428</v>
      </c>
      <c r="B259" s="134"/>
      <c r="C259" s="8">
        <v>68</v>
      </c>
      <c r="D259" s="89">
        <f>D230/D234</f>
        <v>1.7269736842105263</v>
      </c>
      <c r="E259" s="89">
        <f t="shared" ref="E259" si="78">E230/E234</f>
        <v>1.8096837753157407</v>
      </c>
      <c r="F259" s="89">
        <v>1.9484126984126984</v>
      </c>
      <c r="G259" s="89"/>
      <c r="H259" s="89">
        <f t="shared" ref="H259:M259" si="79">H230/H234</f>
        <v>1.9896859605911337</v>
      </c>
      <c r="I259" s="89">
        <f t="shared" si="79"/>
        <v>1.906044905008637</v>
      </c>
      <c r="J259" s="89">
        <f t="shared" si="79"/>
        <v>1.94731821850466</v>
      </c>
      <c r="K259" s="89">
        <f t="shared" si="79"/>
        <v>2.0332703213610603</v>
      </c>
      <c r="L259" s="89">
        <f t="shared" si="79"/>
        <v>2.1320312500000016</v>
      </c>
      <c r="M259" s="89">
        <f t="shared" si="79"/>
        <v>1.906044905008637</v>
      </c>
    </row>
    <row r="260" spans="1:13" ht="3" customHeight="1" x14ac:dyDescent="0.3">
      <c r="A260" s="45"/>
      <c r="B260" s="45"/>
      <c r="C260" s="45"/>
      <c r="D260" s="51"/>
      <c r="E260" s="51"/>
      <c r="F260" s="51"/>
      <c r="G260" s="51"/>
      <c r="H260" s="51"/>
      <c r="I260" s="51"/>
      <c r="J260" s="51"/>
      <c r="K260" s="51"/>
      <c r="L260" s="51"/>
      <c r="M260" s="51"/>
    </row>
    <row r="261" spans="1:13" ht="30" customHeight="1" x14ac:dyDescent="0.3">
      <c r="A261" s="103" t="s">
        <v>432</v>
      </c>
      <c r="B261" s="104"/>
      <c r="C261" s="107" t="s">
        <v>20</v>
      </c>
      <c r="D261" s="107" t="s">
        <v>450</v>
      </c>
      <c r="E261" s="107" t="s">
        <v>448</v>
      </c>
      <c r="F261" s="94" t="s">
        <v>451</v>
      </c>
      <c r="G261" s="94" t="s">
        <v>452</v>
      </c>
      <c r="H261" s="107" t="s">
        <v>453</v>
      </c>
      <c r="I261" s="107" t="s">
        <v>454</v>
      </c>
      <c r="J261" s="108" t="s">
        <v>21</v>
      </c>
      <c r="K261" s="108"/>
      <c r="L261" s="108"/>
      <c r="M261" s="108"/>
    </row>
    <row r="262" spans="1:13" ht="30" customHeight="1" x14ac:dyDescent="0.3">
      <c r="A262" s="105"/>
      <c r="B262" s="106"/>
      <c r="C262" s="107"/>
      <c r="D262" s="107"/>
      <c r="E262" s="107"/>
      <c r="F262" s="94"/>
      <c r="G262" s="94"/>
      <c r="H262" s="107"/>
      <c r="I262" s="107"/>
      <c r="J262" s="47">
        <v>1</v>
      </c>
      <c r="K262" s="47">
        <v>2</v>
      </c>
      <c r="L262" s="47">
        <v>3</v>
      </c>
      <c r="M262" s="47">
        <v>4</v>
      </c>
    </row>
    <row r="263" spans="1:13" ht="15.6" x14ac:dyDescent="0.3">
      <c r="A263" s="116" t="s">
        <v>362</v>
      </c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8"/>
    </row>
    <row r="264" spans="1:13" ht="45.15" customHeight="1" x14ac:dyDescent="0.3">
      <c r="A264" s="110" t="s">
        <v>363</v>
      </c>
      <c r="B264" s="164"/>
      <c r="C264" s="15">
        <v>69</v>
      </c>
      <c r="D264" s="25">
        <v>4</v>
      </c>
      <c r="E264" s="25">
        <v>4</v>
      </c>
      <c r="F264" s="25">
        <v>4</v>
      </c>
      <c r="G264" s="25">
        <v>4</v>
      </c>
      <c r="H264" s="25">
        <f t="shared" ref="H264:M264" si="80">SUM(H265:H267)</f>
        <v>4</v>
      </c>
      <c r="I264" s="25">
        <f t="shared" si="80"/>
        <v>4</v>
      </c>
      <c r="J264" s="25">
        <f t="shared" si="80"/>
        <v>4</v>
      </c>
      <c r="K264" s="25">
        <f t="shared" si="80"/>
        <v>4</v>
      </c>
      <c r="L264" s="25">
        <f t="shared" si="80"/>
        <v>4</v>
      </c>
      <c r="M264" s="25">
        <f t="shared" si="80"/>
        <v>4</v>
      </c>
    </row>
    <row r="265" spans="1:13" ht="15.6" x14ac:dyDescent="0.3">
      <c r="A265" s="110" t="s">
        <v>364</v>
      </c>
      <c r="B265" s="164"/>
      <c r="C265" s="17" t="s">
        <v>365</v>
      </c>
      <c r="D265" s="23">
        <v>1</v>
      </c>
      <c r="E265" s="23">
        <v>1</v>
      </c>
      <c r="F265" s="23">
        <v>1</v>
      </c>
      <c r="G265" s="23">
        <v>1</v>
      </c>
      <c r="H265" s="23">
        <v>1</v>
      </c>
      <c r="I265" s="23">
        <v>1</v>
      </c>
      <c r="J265" s="23">
        <v>1</v>
      </c>
      <c r="K265" s="23">
        <v>1</v>
      </c>
      <c r="L265" s="23">
        <v>1</v>
      </c>
      <c r="M265" s="23">
        <v>1</v>
      </c>
    </row>
    <row r="266" spans="1:13" ht="15.6" x14ac:dyDescent="0.3">
      <c r="A266" s="110" t="s">
        <v>366</v>
      </c>
      <c r="B266" s="164"/>
      <c r="C266" s="17" t="s">
        <v>367</v>
      </c>
      <c r="D266" s="23">
        <v>1</v>
      </c>
      <c r="E266" s="23">
        <v>1</v>
      </c>
      <c r="F266" s="23">
        <v>1</v>
      </c>
      <c r="G266" s="23">
        <v>1</v>
      </c>
      <c r="H266" s="23">
        <v>1</v>
      </c>
      <c r="I266" s="23">
        <v>1</v>
      </c>
      <c r="J266" s="23">
        <v>1</v>
      </c>
      <c r="K266" s="23">
        <v>1</v>
      </c>
      <c r="L266" s="23">
        <v>1</v>
      </c>
      <c r="M266" s="23">
        <v>1</v>
      </c>
    </row>
    <row r="267" spans="1:13" ht="15.6" x14ac:dyDescent="0.3">
      <c r="A267" s="110" t="s">
        <v>368</v>
      </c>
      <c r="B267" s="164"/>
      <c r="C267" s="17" t="s">
        <v>369</v>
      </c>
      <c r="D267" s="23">
        <v>2</v>
      </c>
      <c r="E267" s="23">
        <v>2</v>
      </c>
      <c r="F267" s="23">
        <v>2</v>
      </c>
      <c r="G267" s="23">
        <v>2</v>
      </c>
      <c r="H267" s="23">
        <v>2</v>
      </c>
      <c r="I267" s="23">
        <v>2</v>
      </c>
      <c r="J267" s="23">
        <v>2</v>
      </c>
      <c r="K267" s="23">
        <v>2</v>
      </c>
      <c r="L267" s="23">
        <v>2</v>
      </c>
      <c r="M267" s="23">
        <v>2</v>
      </c>
    </row>
    <row r="268" spans="1:13" ht="15.6" x14ac:dyDescent="0.3">
      <c r="A268" s="134" t="s">
        <v>370</v>
      </c>
      <c r="B268" s="134"/>
      <c r="C268" s="15">
        <v>70</v>
      </c>
      <c r="D268" s="25">
        <v>1109</v>
      </c>
      <c r="E268" s="25">
        <v>1139</v>
      </c>
      <c r="F268" s="25">
        <v>575</v>
      </c>
      <c r="G268" s="25">
        <f>G269+G270+G271</f>
        <v>579</v>
      </c>
      <c r="H268" s="92">
        <f>SUM(H269:H271)</f>
        <v>1154</v>
      </c>
      <c r="I268" s="92">
        <f t="shared" ref="I268:M268" si="81">SUM(I269:I271)</f>
        <v>1334</v>
      </c>
      <c r="J268" s="92">
        <f t="shared" si="81"/>
        <v>323</v>
      </c>
      <c r="K268" s="92">
        <f t="shared" si="81"/>
        <v>323</v>
      </c>
      <c r="L268" s="92">
        <f t="shared" si="81"/>
        <v>353</v>
      </c>
      <c r="M268" s="92">
        <f t="shared" si="81"/>
        <v>335</v>
      </c>
    </row>
    <row r="269" spans="1:13" ht="15.6" x14ac:dyDescent="0.3">
      <c r="A269" s="110" t="s">
        <v>364</v>
      </c>
      <c r="B269" s="164"/>
      <c r="C269" s="17" t="s">
        <v>371</v>
      </c>
      <c r="D269" s="23">
        <v>338</v>
      </c>
      <c r="E269" s="23">
        <v>393</v>
      </c>
      <c r="F269" s="23">
        <v>180</v>
      </c>
      <c r="G269" s="23">
        <v>210</v>
      </c>
      <c r="H269" s="62">
        <f>F269+G269</f>
        <v>390</v>
      </c>
      <c r="I269" s="62">
        <f>J269+K269+L269+M269</f>
        <v>433</v>
      </c>
      <c r="J269" s="62">
        <f>100+2+2</f>
        <v>104</v>
      </c>
      <c r="K269" s="62">
        <v>100</v>
      </c>
      <c r="L269" s="62">
        <f>100+L299</f>
        <v>130</v>
      </c>
      <c r="M269" s="62">
        <v>99</v>
      </c>
    </row>
    <row r="270" spans="1:13" ht="15.6" x14ac:dyDescent="0.3">
      <c r="A270" s="110" t="s">
        <v>366</v>
      </c>
      <c r="B270" s="164"/>
      <c r="C270" s="17" t="s">
        <v>372</v>
      </c>
      <c r="D270" s="23">
        <v>276</v>
      </c>
      <c r="E270" s="23">
        <v>290</v>
      </c>
      <c r="F270" s="23">
        <v>143</v>
      </c>
      <c r="G270" s="23">
        <v>145</v>
      </c>
      <c r="H270" s="62">
        <f t="shared" ref="H270:H271" si="82">F270+G270</f>
        <v>288</v>
      </c>
      <c r="I270" s="62">
        <f>J270+K270+L270+M270</f>
        <v>351</v>
      </c>
      <c r="J270" s="62">
        <f>80+7+2</f>
        <v>89</v>
      </c>
      <c r="K270" s="62">
        <f>79+8</f>
        <v>87</v>
      </c>
      <c r="L270" s="62">
        <f>80+7</f>
        <v>87</v>
      </c>
      <c r="M270" s="62">
        <f>80+8</f>
        <v>88</v>
      </c>
    </row>
    <row r="271" spans="1:13" ht="15.6" x14ac:dyDescent="0.3">
      <c r="A271" s="110" t="s">
        <v>368</v>
      </c>
      <c r="B271" s="164"/>
      <c r="C271" s="17" t="s">
        <v>373</v>
      </c>
      <c r="D271" s="23">
        <v>495</v>
      </c>
      <c r="E271" s="23">
        <v>456</v>
      </c>
      <c r="F271" s="23">
        <v>252</v>
      </c>
      <c r="G271" s="23">
        <v>224</v>
      </c>
      <c r="H271" s="62">
        <f t="shared" si="82"/>
        <v>476</v>
      </c>
      <c r="I271" s="34">
        <f>J271+K271+L271+M271</f>
        <v>550</v>
      </c>
      <c r="J271" s="34">
        <f>J44+4+4</f>
        <v>130</v>
      </c>
      <c r="K271" s="34">
        <f>K44</f>
        <v>136</v>
      </c>
      <c r="L271" s="34">
        <f>L44</f>
        <v>136</v>
      </c>
      <c r="M271" s="34">
        <f>M44</f>
        <v>148</v>
      </c>
    </row>
    <row r="272" spans="1:13" ht="15.6" x14ac:dyDescent="0.3">
      <c r="A272" s="165" t="s">
        <v>374</v>
      </c>
      <c r="B272" s="165"/>
      <c r="C272" s="15">
        <v>71</v>
      </c>
      <c r="D272" s="25">
        <v>1125</v>
      </c>
      <c r="E272" s="25">
        <v>1139</v>
      </c>
      <c r="F272" s="25">
        <v>575</v>
      </c>
      <c r="G272" s="25">
        <f>G273+G274+G275</f>
        <v>579</v>
      </c>
      <c r="H272" s="92">
        <f>SUM(H273:H275)</f>
        <v>1154</v>
      </c>
      <c r="I272" s="92">
        <f>SUM(I273:I275)</f>
        <v>1334</v>
      </c>
      <c r="J272" s="92">
        <f t="shared" ref="J272:M272" si="83">SUM(J273:J275)</f>
        <v>323</v>
      </c>
      <c r="K272" s="92">
        <f t="shared" si="83"/>
        <v>323</v>
      </c>
      <c r="L272" s="92">
        <f t="shared" si="83"/>
        <v>353</v>
      </c>
      <c r="M272" s="92">
        <f t="shared" si="83"/>
        <v>335</v>
      </c>
    </row>
    <row r="273" spans="1:13" ht="15.6" x14ac:dyDescent="0.3">
      <c r="A273" s="110" t="s">
        <v>364</v>
      </c>
      <c r="B273" s="164"/>
      <c r="C273" s="17" t="s">
        <v>375</v>
      </c>
      <c r="D273" s="23">
        <v>338</v>
      </c>
      <c r="E273" s="23">
        <v>393</v>
      </c>
      <c r="F273" s="23">
        <v>180</v>
      </c>
      <c r="G273" s="23">
        <v>210</v>
      </c>
      <c r="H273" s="62">
        <f>F273+G273</f>
        <v>390</v>
      </c>
      <c r="I273" s="62">
        <f>I269</f>
        <v>433</v>
      </c>
      <c r="J273" s="62">
        <f t="shared" ref="J273:M273" si="84">J269</f>
        <v>104</v>
      </c>
      <c r="K273" s="62">
        <f t="shared" si="84"/>
        <v>100</v>
      </c>
      <c r="L273" s="62">
        <f t="shared" si="84"/>
        <v>130</v>
      </c>
      <c r="M273" s="62">
        <f t="shared" si="84"/>
        <v>99</v>
      </c>
    </row>
    <row r="274" spans="1:13" ht="15.6" x14ac:dyDescent="0.3">
      <c r="A274" s="110" t="s">
        <v>366</v>
      </c>
      <c r="B274" s="164"/>
      <c r="C274" s="17" t="s">
        <v>376</v>
      </c>
      <c r="D274" s="23">
        <v>276</v>
      </c>
      <c r="E274" s="23">
        <v>290</v>
      </c>
      <c r="F274" s="23">
        <v>143</v>
      </c>
      <c r="G274" s="23">
        <v>145</v>
      </c>
      <c r="H274" s="62">
        <f t="shared" ref="H274:H275" si="85">F274+G274</f>
        <v>288</v>
      </c>
      <c r="I274" s="62">
        <f>J274+K274+L274+M274</f>
        <v>351</v>
      </c>
      <c r="J274" s="62">
        <f>J270</f>
        <v>89</v>
      </c>
      <c r="K274" s="62">
        <f t="shared" ref="K274:M274" si="86">K270</f>
        <v>87</v>
      </c>
      <c r="L274" s="62">
        <f t="shared" si="86"/>
        <v>87</v>
      </c>
      <c r="M274" s="62">
        <f t="shared" si="86"/>
        <v>88</v>
      </c>
    </row>
    <row r="275" spans="1:13" ht="15.6" x14ac:dyDescent="0.3">
      <c r="A275" s="110" t="s">
        <v>368</v>
      </c>
      <c r="B275" s="164"/>
      <c r="C275" s="17" t="s">
        <v>377</v>
      </c>
      <c r="D275" s="23">
        <v>511</v>
      </c>
      <c r="E275" s="23">
        <v>456</v>
      </c>
      <c r="F275" s="23">
        <v>252</v>
      </c>
      <c r="G275" s="23">
        <v>224</v>
      </c>
      <c r="H275" s="62">
        <f t="shared" si="85"/>
        <v>476</v>
      </c>
      <c r="I275" s="62">
        <f>J275+K275+L275+M275</f>
        <v>550</v>
      </c>
      <c r="J275" s="62">
        <f>J271</f>
        <v>130</v>
      </c>
      <c r="K275" s="62">
        <f t="shared" ref="K275:M275" si="87">K271</f>
        <v>136</v>
      </c>
      <c r="L275" s="62">
        <f t="shared" si="87"/>
        <v>136</v>
      </c>
      <c r="M275" s="62">
        <f t="shared" si="87"/>
        <v>148</v>
      </c>
    </row>
    <row r="276" spans="1:13" ht="30" customHeight="1" x14ac:dyDescent="0.3">
      <c r="A276" s="134" t="s">
        <v>430</v>
      </c>
      <c r="B276" s="166"/>
      <c r="C276" s="15">
        <v>72</v>
      </c>
      <c r="D276" s="25">
        <v>23.437500000000004</v>
      </c>
      <c r="E276" s="25">
        <v>23.729166666666671</v>
      </c>
      <c r="F276" s="25">
        <v>23.958333333333332</v>
      </c>
      <c r="G276" s="25"/>
      <c r="H276" s="25">
        <f>(H277+H278+H279*H267)/H264</f>
        <v>24.041666666666664</v>
      </c>
      <c r="I276" s="25">
        <f t="shared" ref="I276:M276" si="88">(I277+I278+I279*I267)/I264</f>
        <v>27.791666666666671</v>
      </c>
      <c r="J276" s="25">
        <f t="shared" si="88"/>
        <v>26.916666666666664</v>
      </c>
      <c r="K276" s="25">
        <f t="shared" si="88"/>
        <v>26.916666666666668</v>
      </c>
      <c r="L276" s="25">
        <f t="shared" si="88"/>
        <v>29.416666666666671</v>
      </c>
      <c r="M276" s="25">
        <f t="shared" si="88"/>
        <v>27.916666666666664</v>
      </c>
    </row>
    <row r="277" spans="1:13" ht="15.6" x14ac:dyDescent="0.3">
      <c r="A277" s="110" t="s">
        <v>364</v>
      </c>
      <c r="B277" s="164"/>
      <c r="C277" s="17" t="s">
        <v>378</v>
      </c>
      <c r="D277" s="23">
        <v>28.166666666666668</v>
      </c>
      <c r="E277" s="23">
        <v>32.75</v>
      </c>
      <c r="F277" s="23">
        <v>30</v>
      </c>
      <c r="G277" s="23"/>
      <c r="H277" s="23">
        <f>H273/12</f>
        <v>32.5</v>
      </c>
      <c r="I277" s="23">
        <f>(J277+K277+L277+M277)/4</f>
        <v>36.083333333333336</v>
      </c>
      <c r="J277" s="23">
        <f>J269/3</f>
        <v>34.666666666666664</v>
      </c>
      <c r="K277" s="23">
        <f t="shared" ref="K277:M278" si="89">K269/3</f>
        <v>33.333333333333336</v>
      </c>
      <c r="L277" s="23">
        <f t="shared" si="89"/>
        <v>43.333333333333336</v>
      </c>
      <c r="M277" s="23">
        <f t="shared" si="89"/>
        <v>33</v>
      </c>
    </row>
    <row r="278" spans="1:13" ht="15.6" x14ac:dyDescent="0.3">
      <c r="A278" s="110" t="s">
        <v>366</v>
      </c>
      <c r="B278" s="164"/>
      <c r="C278" s="17" t="s">
        <v>379</v>
      </c>
      <c r="D278" s="23">
        <v>23</v>
      </c>
      <c r="E278" s="23">
        <v>24.166666666666668</v>
      </c>
      <c r="F278" s="23">
        <v>23.833333333333332</v>
      </c>
      <c r="G278" s="23"/>
      <c r="H278" s="23">
        <f t="shared" ref="H278" si="90">H274/12</f>
        <v>24</v>
      </c>
      <c r="I278" s="23">
        <f>(J278+K278+L278+M278)/4</f>
        <v>29.25</v>
      </c>
      <c r="J278" s="23">
        <f>J270/3</f>
        <v>29.666666666666668</v>
      </c>
      <c r="K278" s="23">
        <f t="shared" si="89"/>
        <v>29</v>
      </c>
      <c r="L278" s="23">
        <f t="shared" si="89"/>
        <v>29</v>
      </c>
      <c r="M278" s="23">
        <f t="shared" si="89"/>
        <v>29.333333333333332</v>
      </c>
    </row>
    <row r="279" spans="1:13" ht="15.6" x14ac:dyDescent="0.3">
      <c r="A279" s="110" t="s">
        <v>368</v>
      </c>
      <c r="B279" s="164"/>
      <c r="C279" s="17" t="s">
        <v>380</v>
      </c>
      <c r="D279" s="23">
        <v>21.291666666666668</v>
      </c>
      <c r="E279" s="23">
        <v>19.000000000000004</v>
      </c>
      <c r="F279" s="23">
        <v>21</v>
      </c>
      <c r="G279" s="23"/>
      <c r="H279" s="23">
        <f>H275/12/2</f>
        <v>19.833333333333332</v>
      </c>
      <c r="I279" s="23">
        <f>(J279+K279+L279+M279)/4</f>
        <v>22.916666666666668</v>
      </c>
      <c r="J279" s="23">
        <f>J271/6</f>
        <v>21.666666666666668</v>
      </c>
      <c r="K279" s="23">
        <f>K271/6</f>
        <v>22.666666666666668</v>
      </c>
      <c r="L279" s="23">
        <f>L271/6</f>
        <v>22.666666666666668</v>
      </c>
      <c r="M279" s="23">
        <f>M271/6</f>
        <v>24.666666666666668</v>
      </c>
    </row>
    <row r="280" spans="1:13" ht="15.6" x14ac:dyDescent="0.3">
      <c r="A280" s="134" t="s">
        <v>381</v>
      </c>
      <c r="B280" s="166"/>
      <c r="C280" s="15">
        <v>73</v>
      </c>
      <c r="D280" s="25">
        <v>0</v>
      </c>
      <c r="E280" s="25">
        <v>0</v>
      </c>
      <c r="F280" s="25">
        <v>0</v>
      </c>
      <c r="G280" s="25"/>
      <c r="H280" s="25">
        <v>0</v>
      </c>
      <c r="I280" s="25">
        <f t="shared" ref="I280:M280" si="91">SUM(I281:I283)</f>
        <v>0</v>
      </c>
      <c r="J280" s="25">
        <f t="shared" si="91"/>
        <v>0</v>
      </c>
      <c r="K280" s="25">
        <f t="shared" si="91"/>
        <v>0</v>
      </c>
      <c r="L280" s="25">
        <f t="shared" si="91"/>
        <v>0</v>
      </c>
      <c r="M280" s="25">
        <f t="shared" si="91"/>
        <v>0</v>
      </c>
    </row>
    <row r="281" spans="1:13" ht="15.6" x14ac:dyDescent="0.3">
      <c r="A281" s="110" t="s">
        <v>364</v>
      </c>
      <c r="B281" s="164"/>
      <c r="C281" s="17" t="s">
        <v>382</v>
      </c>
      <c r="D281" s="23">
        <v>0</v>
      </c>
      <c r="E281" s="23">
        <v>0</v>
      </c>
      <c r="F281" s="23">
        <v>0</v>
      </c>
      <c r="G281" s="23"/>
      <c r="H281" s="23">
        <v>0</v>
      </c>
      <c r="I281" s="23">
        <v>0</v>
      </c>
      <c r="J281" s="23">
        <v>0</v>
      </c>
      <c r="K281" s="23">
        <v>0</v>
      </c>
      <c r="L281" s="23">
        <v>0</v>
      </c>
      <c r="M281" s="23">
        <v>0</v>
      </c>
    </row>
    <row r="282" spans="1:13" ht="15.6" x14ac:dyDescent="0.3">
      <c r="A282" s="110" t="s">
        <v>366</v>
      </c>
      <c r="B282" s="164"/>
      <c r="C282" s="17" t="s">
        <v>383</v>
      </c>
      <c r="D282" s="23">
        <v>0</v>
      </c>
      <c r="E282" s="23">
        <v>0</v>
      </c>
      <c r="F282" s="23">
        <v>0</v>
      </c>
      <c r="G282" s="23"/>
      <c r="H282" s="23">
        <v>0</v>
      </c>
      <c r="I282" s="23">
        <v>0</v>
      </c>
      <c r="J282" s="23">
        <v>0</v>
      </c>
      <c r="K282" s="23">
        <v>0</v>
      </c>
      <c r="L282" s="23">
        <v>0</v>
      </c>
      <c r="M282" s="23">
        <v>0</v>
      </c>
    </row>
    <row r="283" spans="1:13" ht="15.6" x14ac:dyDescent="0.3">
      <c r="A283" s="110" t="s">
        <v>368</v>
      </c>
      <c r="B283" s="164"/>
      <c r="C283" s="17" t="s">
        <v>384</v>
      </c>
      <c r="D283" s="23">
        <v>0</v>
      </c>
      <c r="E283" s="23">
        <v>0</v>
      </c>
      <c r="F283" s="23">
        <v>0</v>
      </c>
      <c r="G283" s="23"/>
      <c r="H283" s="23">
        <v>0</v>
      </c>
      <c r="I283" s="23">
        <v>0</v>
      </c>
      <c r="J283" s="23">
        <v>0</v>
      </c>
      <c r="K283" s="23">
        <v>0</v>
      </c>
      <c r="L283" s="23">
        <v>0</v>
      </c>
      <c r="M283" s="23">
        <v>0</v>
      </c>
    </row>
    <row r="284" spans="1:13" ht="15.6" x14ac:dyDescent="0.3">
      <c r="A284" s="18"/>
      <c r="B284" s="18"/>
      <c r="C284" s="19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s="1" customFormat="1" ht="15.6" x14ac:dyDescent="0.3">
      <c r="A285" s="1" t="s">
        <v>398</v>
      </c>
      <c r="C285" s="20" t="s">
        <v>385</v>
      </c>
      <c r="E285" s="95" t="s">
        <v>443</v>
      </c>
      <c r="F285" s="95"/>
      <c r="G285" s="95"/>
      <c r="H285" s="96"/>
      <c r="I285" s="96"/>
    </row>
    <row r="286" spans="1:13" s="1" customFormat="1" ht="15.6" x14ac:dyDescent="0.3">
      <c r="A286" s="20" t="s">
        <v>386</v>
      </c>
      <c r="C286" s="20" t="s">
        <v>387</v>
      </c>
      <c r="H286" s="20" t="s">
        <v>388</v>
      </c>
    </row>
    <row r="287" spans="1:13" s="1" customFormat="1" ht="15.6" x14ac:dyDescent="0.3">
      <c r="A287" s="20"/>
      <c r="C287" s="20"/>
      <c r="H287" s="20"/>
    </row>
    <row r="288" spans="1:13" s="1" customFormat="1" ht="150" customHeight="1" x14ac:dyDescent="0.3">
      <c r="A288" s="20"/>
      <c r="C288" s="20"/>
      <c r="H288" s="20"/>
    </row>
    <row r="289" spans="1:13" s="1" customFormat="1" ht="21" x14ac:dyDescent="0.3">
      <c r="A289" s="97" t="s">
        <v>399</v>
      </c>
      <c r="B289" s="98"/>
      <c r="C289" s="98"/>
      <c r="D289" s="98"/>
      <c r="E289" s="98"/>
      <c r="F289" s="98"/>
      <c r="G289" s="98"/>
      <c r="H289" s="98"/>
      <c r="I289" s="98"/>
      <c r="J289" s="98"/>
      <c r="K289" s="98"/>
      <c r="L289" s="98"/>
      <c r="M289" s="98"/>
    </row>
    <row r="290" spans="1:13" s="21" customFormat="1" ht="18" x14ac:dyDescent="0.3">
      <c r="A290" s="99" t="s">
        <v>449</v>
      </c>
      <c r="B290" s="100"/>
      <c r="C290" s="100"/>
      <c r="D290" s="100"/>
      <c r="E290" s="100"/>
      <c r="F290" s="100"/>
      <c r="G290" s="100"/>
      <c r="H290" s="100"/>
      <c r="I290" s="100"/>
      <c r="J290" s="100"/>
      <c r="K290" s="100"/>
      <c r="L290" s="100"/>
      <c r="M290" s="100"/>
    </row>
    <row r="291" spans="1:13" ht="15.6" x14ac:dyDescent="0.3">
      <c r="A291" s="101"/>
      <c r="B291" s="102"/>
      <c r="C291" s="102"/>
      <c r="D291" s="102"/>
      <c r="E291" s="102"/>
      <c r="F291" s="102"/>
      <c r="G291" s="102"/>
      <c r="H291" s="102"/>
      <c r="I291" s="102"/>
      <c r="J291" s="102"/>
      <c r="K291" s="102"/>
      <c r="L291" s="102"/>
      <c r="M291" s="102"/>
    </row>
    <row r="292" spans="1:13" ht="45.15" customHeight="1" x14ac:dyDescent="0.3">
      <c r="A292" s="103" t="s">
        <v>432</v>
      </c>
      <c r="B292" s="104"/>
      <c r="C292" s="107" t="s">
        <v>20</v>
      </c>
      <c r="D292" s="107" t="s">
        <v>450</v>
      </c>
      <c r="E292" s="107" t="s">
        <v>448</v>
      </c>
      <c r="F292" s="94" t="s">
        <v>451</v>
      </c>
      <c r="G292" s="94" t="s">
        <v>452</v>
      </c>
      <c r="H292" s="107" t="s">
        <v>453</v>
      </c>
      <c r="I292" s="107" t="s">
        <v>454</v>
      </c>
      <c r="J292" s="108" t="s">
        <v>21</v>
      </c>
      <c r="K292" s="108"/>
      <c r="L292" s="108"/>
      <c r="M292" s="108"/>
    </row>
    <row r="293" spans="1:13" x14ac:dyDescent="0.3">
      <c r="A293" s="105"/>
      <c r="B293" s="106"/>
      <c r="C293" s="107"/>
      <c r="D293" s="107"/>
      <c r="E293" s="107"/>
      <c r="F293" s="94"/>
      <c r="G293" s="94"/>
      <c r="H293" s="107"/>
      <c r="I293" s="107"/>
      <c r="J293" s="47">
        <v>1</v>
      </c>
      <c r="K293" s="47">
        <v>2</v>
      </c>
      <c r="L293" s="47">
        <v>3</v>
      </c>
      <c r="M293" s="47">
        <v>4</v>
      </c>
    </row>
    <row r="294" spans="1:13" ht="17.399999999999999" x14ac:dyDescent="0.3">
      <c r="A294" s="121" t="s">
        <v>444</v>
      </c>
      <c r="B294" s="121"/>
      <c r="C294" s="10" t="s">
        <v>107</v>
      </c>
      <c r="D294" s="91">
        <v>1</v>
      </c>
      <c r="E294" s="91">
        <v>0</v>
      </c>
      <c r="F294" s="91">
        <v>0</v>
      </c>
      <c r="G294" s="91">
        <f>L294+M294</f>
        <v>0</v>
      </c>
      <c r="H294" s="91">
        <v>0</v>
      </c>
      <c r="I294" s="91">
        <f t="shared" ref="I294:M294" si="92">I295</f>
        <v>0</v>
      </c>
      <c r="J294" s="91">
        <f t="shared" si="92"/>
        <v>0</v>
      </c>
      <c r="K294" s="91">
        <f t="shared" si="92"/>
        <v>0</v>
      </c>
      <c r="L294" s="91">
        <f t="shared" si="92"/>
        <v>0</v>
      </c>
      <c r="M294" s="91">
        <f t="shared" si="92"/>
        <v>0</v>
      </c>
    </row>
    <row r="295" spans="1:13" ht="45.15" customHeight="1" x14ac:dyDescent="0.3">
      <c r="A295" s="122" t="s">
        <v>401</v>
      </c>
      <c r="B295" s="122"/>
      <c r="C295" s="10" t="s">
        <v>400</v>
      </c>
      <c r="D295" s="57">
        <v>1</v>
      </c>
      <c r="E295" s="57">
        <v>0</v>
      </c>
      <c r="F295" s="57">
        <v>0</v>
      </c>
      <c r="G295" s="57">
        <f t="shared" ref="G295:G296" si="93">L295+M295</f>
        <v>0</v>
      </c>
      <c r="H295" s="57">
        <v>0</v>
      </c>
      <c r="I295" s="57">
        <v>0</v>
      </c>
      <c r="J295" s="57">
        <v>0</v>
      </c>
      <c r="K295" s="57">
        <v>0</v>
      </c>
      <c r="L295" s="57">
        <v>0</v>
      </c>
      <c r="M295" s="59">
        <v>0</v>
      </c>
    </row>
    <row r="296" spans="1:13" ht="80.099999999999994" hidden="1" customHeight="1" x14ac:dyDescent="0.3">
      <c r="A296" s="122" t="s">
        <v>445</v>
      </c>
      <c r="B296" s="122"/>
      <c r="C296" s="10" t="s">
        <v>438</v>
      </c>
      <c r="D296" s="58">
        <v>0</v>
      </c>
      <c r="E296" s="57">
        <v>0</v>
      </c>
      <c r="F296" s="57"/>
      <c r="G296" s="57">
        <f t="shared" si="93"/>
        <v>0</v>
      </c>
      <c r="H296" s="58">
        <v>0</v>
      </c>
      <c r="I296" s="57">
        <v>0</v>
      </c>
      <c r="J296" s="57">
        <v>0</v>
      </c>
      <c r="K296" s="57">
        <v>0</v>
      </c>
      <c r="L296" s="57">
        <v>0</v>
      </c>
      <c r="M296" s="59">
        <v>0</v>
      </c>
    </row>
    <row r="297" spans="1:13" ht="17.399999999999999" x14ac:dyDescent="0.3">
      <c r="A297" s="123" t="s">
        <v>408</v>
      </c>
      <c r="B297" s="123"/>
      <c r="C297" s="10" t="s">
        <v>158</v>
      </c>
      <c r="D297" s="170">
        <v>34</v>
      </c>
      <c r="E297" s="90">
        <v>84</v>
      </c>
      <c r="F297" s="90">
        <v>9</v>
      </c>
      <c r="G297" s="91">
        <v>49</v>
      </c>
      <c r="H297" s="90">
        <f>H298+H303+H306+H307+H308+H309+H310</f>
        <v>58</v>
      </c>
      <c r="I297" s="90">
        <f>I298+I303+I306+I307+I308+I309+I310</f>
        <v>86</v>
      </c>
      <c r="J297" s="91">
        <f t="shared" ref="J297:M297" si="94">J298+J303+J306+J307+J308+J309+J310</f>
        <v>27</v>
      </c>
      <c r="K297" s="91">
        <f t="shared" si="94"/>
        <v>9</v>
      </c>
      <c r="L297" s="91">
        <f t="shared" si="94"/>
        <v>41</v>
      </c>
      <c r="M297" s="91">
        <f t="shared" si="94"/>
        <v>9</v>
      </c>
    </row>
    <row r="298" spans="1:13" ht="15.6" x14ac:dyDescent="0.3">
      <c r="A298" s="124" t="s">
        <v>410</v>
      </c>
      <c r="B298" s="124"/>
      <c r="C298" s="10" t="s">
        <v>402</v>
      </c>
      <c r="D298" s="57">
        <v>0</v>
      </c>
      <c r="E298" s="57">
        <v>44</v>
      </c>
      <c r="F298" s="60">
        <v>0</v>
      </c>
      <c r="G298" s="60">
        <v>30</v>
      </c>
      <c r="H298" s="60">
        <f>H299+H300+H301</f>
        <v>30</v>
      </c>
      <c r="I298" s="60">
        <f>I299+I300+I301</f>
        <v>44</v>
      </c>
      <c r="J298" s="60">
        <f t="shared" ref="J298:M298" si="95">J299+J300+J301</f>
        <v>14</v>
      </c>
      <c r="K298" s="60">
        <f t="shared" si="95"/>
        <v>0</v>
      </c>
      <c r="L298" s="60">
        <f t="shared" si="95"/>
        <v>30</v>
      </c>
      <c r="M298" s="60">
        <f t="shared" si="95"/>
        <v>0</v>
      </c>
    </row>
    <row r="299" spans="1:13" ht="15" customHeight="1" x14ac:dyDescent="0.3">
      <c r="A299" s="125" t="s">
        <v>413</v>
      </c>
      <c r="B299" s="125"/>
      <c r="C299" s="10" t="s">
        <v>409</v>
      </c>
      <c r="D299" s="57">
        <v>0</v>
      </c>
      <c r="E299" s="57">
        <v>30</v>
      </c>
      <c r="F299" s="57">
        <v>0</v>
      </c>
      <c r="G299" s="57">
        <v>30</v>
      </c>
      <c r="H299" s="57">
        <f>F299+G299</f>
        <v>30</v>
      </c>
      <c r="I299" s="57">
        <f>J299+K299+L299+M299</f>
        <v>30</v>
      </c>
      <c r="J299" s="57">
        <v>0</v>
      </c>
      <c r="K299" s="57">
        <v>0</v>
      </c>
      <c r="L299" s="57">
        <v>30</v>
      </c>
      <c r="M299" s="59">
        <v>0</v>
      </c>
    </row>
    <row r="300" spans="1:13" ht="15.6" x14ac:dyDescent="0.3">
      <c r="A300" s="125" t="s">
        <v>414</v>
      </c>
      <c r="B300" s="125"/>
      <c r="C300" s="10" t="s">
        <v>411</v>
      </c>
      <c r="D300" s="57">
        <v>0</v>
      </c>
      <c r="E300" s="57">
        <v>6</v>
      </c>
      <c r="F300" s="57">
        <v>0</v>
      </c>
      <c r="G300" s="57">
        <v>0</v>
      </c>
      <c r="H300" s="57">
        <f t="shared" ref="H300:H302" si="96">F300+G300</f>
        <v>0</v>
      </c>
      <c r="I300" s="57">
        <f t="shared" ref="I300:I302" si="97">J300+K300+L300+M300</f>
        <v>6</v>
      </c>
      <c r="J300" s="57">
        <v>6</v>
      </c>
      <c r="K300" s="57">
        <v>0</v>
      </c>
      <c r="L300" s="57">
        <v>0</v>
      </c>
      <c r="M300" s="59">
        <v>0</v>
      </c>
    </row>
    <row r="301" spans="1:13" ht="15.6" x14ac:dyDescent="0.3">
      <c r="A301" s="125" t="s">
        <v>415</v>
      </c>
      <c r="B301" s="125"/>
      <c r="C301" s="10" t="s">
        <v>412</v>
      </c>
      <c r="D301" s="57">
        <v>0</v>
      </c>
      <c r="E301" s="57">
        <v>8</v>
      </c>
      <c r="F301" s="57">
        <v>0</v>
      </c>
      <c r="G301" s="57">
        <v>0</v>
      </c>
      <c r="H301" s="57">
        <f t="shared" si="96"/>
        <v>0</v>
      </c>
      <c r="I301" s="57">
        <f t="shared" si="97"/>
        <v>8</v>
      </c>
      <c r="J301" s="57">
        <v>8</v>
      </c>
      <c r="K301" s="57">
        <v>0</v>
      </c>
      <c r="L301" s="57">
        <v>0</v>
      </c>
      <c r="M301" s="59">
        <v>0</v>
      </c>
    </row>
    <row r="302" spans="1:13" ht="15.6" x14ac:dyDescent="0.3">
      <c r="A302" s="125" t="s">
        <v>441</v>
      </c>
      <c r="B302" s="125"/>
      <c r="C302" s="10" t="s">
        <v>439</v>
      </c>
      <c r="D302" s="57">
        <v>0</v>
      </c>
      <c r="E302" s="57">
        <v>0</v>
      </c>
      <c r="F302" s="57">
        <v>0</v>
      </c>
      <c r="G302" s="57">
        <v>0</v>
      </c>
      <c r="H302" s="57">
        <f t="shared" si="96"/>
        <v>0</v>
      </c>
      <c r="I302" s="57">
        <f t="shared" si="97"/>
        <v>0</v>
      </c>
      <c r="J302" s="57">
        <v>0</v>
      </c>
      <c r="K302" s="57">
        <v>0</v>
      </c>
      <c r="L302" s="57">
        <v>0</v>
      </c>
      <c r="M302" s="59">
        <v>0</v>
      </c>
    </row>
    <row r="303" spans="1:13" ht="30" customHeight="1" x14ac:dyDescent="0.3">
      <c r="A303" s="126" t="s">
        <v>416</v>
      </c>
      <c r="B303" s="126"/>
      <c r="C303" s="10" t="s">
        <v>403</v>
      </c>
      <c r="D303" s="57">
        <v>9</v>
      </c>
      <c r="E303" s="57">
        <v>23</v>
      </c>
      <c r="F303" s="57">
        <v>5</v>
      </c>
      <c r="G303" s="57">
        <v>10</v>
      </c>
      <c r="H303" s="57">
        <f t="shared" ref="H303:M303" si="98">H304+H305</f>
        <v>15</v>
      </c>
      <c r="I303" s="57">
        <f t="shared" si="98"/>
        <v>23</v>
      </c>
      <c r="J303" s="57">
        <f t="shared" si="98"/>
        <v>7</v>
      </c>
      <c r="K303" s="57">
        <f t="shared" si="98"/>
        <v>6</v>
      </c>
      <c r="L303" s="57">
        <f t="shared" si="98"/>
        <v>3</v>
      </c>
      <c r="M303" s="57">
        <f t="shared" si="98"/>
        <v>7</v>
      </c>
    </row>
    <row r="304" spans="1:13" ht="15.6" x14ac:dyDescent="0.3">
      <c r="A304" s="127" t="s">
        <v>419</v>
      </c>
      <c r="B304" s="127"/>
      <c r="C304" s="10" t="s">
        <v>417</v>
      </c>
      <c r="D304" s="58">
        <v>0</v>
      </c>
      <c r="E304" s="57">
        <v>12</v>
      </c>
      <c r="F304" s="76">
        <v>0</v>
      </c>
      <c r="G304" s="57">
        <v>6</v>
      </c>
      <c r="H304" s="76">
        <f>F304+G304</f>
        <v>6</v>
      </c>
      <c r="I304" s="76">
        <f t="shared" ref="I304:I310" si="99">J304+K304+L304+M304</f>
        <v>12</v>
      </c>
      <c r="J304" s="76">
        <v>3</v>
      </c>
      <c r="K304" s="76">
        <v>3</v>
      </c>
      <c r="L304" s="76">
        <v>3</v>
      </c>
      <c r="M304" s="76">
        <v>3</v>
      </c>
    </row>
    <row r="305" spans="1:13" ht="30" customHeight="1" x14ac:dyDescent="0.3">
      <c r="A305" s="127" t="s">
        <v>420</v>
      </c>
      <c r="B305" s="127"/>
      <c r="C305" s="10" t="s">
        <v>418</v>
      </c>
      <c r="D305" s="58">
        <v>9</v>
      </c>
      <c r="E305" s="57">
        <v>11</v>
      </c>
      <c r="F305" s="76">
        <v>5</v>
      </c>
      <c r="G305" s="57">
        <v>4</v>
      </c>
      <c r="H305" s="76">
        <f>F305+G305</f>
        <v>9</v>
      </c>
      <c r="I305" s="76">
        <f t="shared" si="99"/>
        <v>11</v>
      </c>
      <c r="J305" s="76">
        <v>4</v>
      </c>
      <c r="K305" s="76">
        <v>3</v>
      </c>
      <c r="L305" s="76">
        <v>0</v>
      </c>
      <c r="M305" s="77">
        <v>4</v>
      </c>
    </row>
    <row r="306" spans="1:13" ht="30" customHeight="1" x14ac:dyDescent="0.3">
      <c r="A306" s="119" t="s">
        <v>424</v>
      </c>
      <c r="B306" s="119"/>
      <c r="C306" s="10" t="s">
        <v>404</v>
      </c>
      <c r="D306" s="58">
        <v>0</v>
      </c>
      <c r="E306" s="57">
        <v>10</v>
      </c>
      <c r="F306" s="58">
        <v>0</v>
      </c>
      <c r="G306" s="57">
        <v>7</v>
      </c>
      <c r="H306" s="58">
        <f>F306+G306</f>
        <v>7</v>
      </c>
      <c r="I306" s="58">
        <f t="shared" si="99"/>
        <v>10</v>
      </c>
      <c r="J306" s="58">
        <v>3</v>
      </c>
      <c r="K306" s="58">
        <v>0</v>
      </c>
      <c r="L306" s="58">
        <v>7</v>
      </c>
      <c r="M306" s="58">
        <v>0</v>
      </c>
    </row>
    <row r="307" spans="1:13" ht="30" customHeight="1" x14ac:dyDescent="0.3">
      <c r="A307" s="119" t="s">
        <v>422</v>
      </c>
      <c r="B307" s="119"/>
      <c r="C307" s="10" t="s">
        <v>405</v>
      </c>
      <c r="D307" s="58">
        <v>2</v>
      </c>
      <c r="E307" s="57">
        <v>3</v>
      </c>
      <c r="F307" s="58">
        <v>1</v>
      </c>
      <c r="G307" s="57">
        <v>1</v>
      </c>
      <c r="H307" s="58">
        <f t="shared" ref="H307:H308" si="100">F307+G307</f>
        <v>2</v>
      </c>
      <c r="I307" s="58">
        <f t="shared" si="99"/>
        <v>3</v>
      </c>
      <c r="J307" s="58">
        <v>1</v>
      </c>
      <c r="K307" s="58">
        <v>1</v>
      </c>
      <c r="L307" s="58">
        <v>0</v>
      </c>
      <c r="M307" s="58">
        <v>1</v>
      </c>
    </row>
    <row r="308" spans="1:13" ht="30" customHeight="1" x14ac:dyDescent="0.3">
      <c r="A308" s="119" t="s">
        <v>423</v>
      </c>
      <c r="B308" s="119"/>
      <c r="C308" s="10" t="s">
        <v>406</v>
      </c>
      <c r="D308" s="58">
        <v>1</v>
      </c>
      <c r="E308" s="57">
        <v>2</v>
      </c>
      <c r="F308" s="58">
        <v>2</v>
      </c>
      <c r="G308" s="57">
        <v>0</v>
      </c>
      <c r="H308" s="58">
        <f t="shared" si="100"/>
        <v>2</v>
      </c>
      <c r="I308" s="58">
        <f t="shared" si="99"/>
        <v>2</v>
      </c>
      <c r="J308" s="58">
        <f>J307</f>
        <v>1</v>
      </c>
      <c r="K308" s="58">
        <f t="shared" ref="K308" si="101">K307</f>
        <v>1</v>
      </c>
      <c r="L308" s="58">
        <v>0</v>
      </c>
      <c r="M308" s="58">
        <v>0</v>
      </c>
    </row>
    <row r="309" spans="1:13" ht="15.6" x14ac:dyDescent="0.3">
      <c r="A309" s="120" t="s">
        <v>421</v>
      </c>
      <c r="B309" s="120"/>
      <c r="C309" s="10" t="s">
        <v>407</v>
      </c>
      <c r="D309" s="58">
        <v>0</v>
      </c>
      <c r="E309" s="57">
        <v>2</v>
      </c>
      <c r="F309" s="76">
        <v>1</v>
      </c>
      <c r="G309" s="57">
        <v>1</v>
      </c>
      <c r="H309" s="76">
        <f>F309+G309</f>
        <v>2</v>
      </c>
      <c r="I309" s="76">
        <f t="shared" si="99"/>
        <v>4</v>
      </c>
      <c r="J309" s="76">
        <v>1</v>
      </c>
      <c r="K309" s="76">
        <v>1</v>
      </c>
      <c r="L309" s="76">
        <v>1</v>
      </c>
      <c r="M309" s="77">
        <v>1</v>
      </c>
    </row>
    <row r="310" spans="1:13" ht="45.15" customHeight="1" x14ac:dyDescent="0.3">
      <c r="A310" s="128" t="s">
        <v>401</v>
      </c>
      <c r="B310" s="129"/>
      <c r="C310" s="10" t="s">
        <v>435</v>
      </c>
      <c r="D310" s="58">
        <v>22</v>
      </c>
      <c r="E310" s="57">
        <v>0</v>
      </c>
      <c r="F310" s="76">
        <v>0</v>
      </c>
      <c r="G310" s="57">
        <v>0</v>
      </c>
      <c r="H310" s="76">
        <f>F310+G310</f>
        <v>0</v>
      </c>
      <c r="I310" s="76">
        <f t="shared" si="99"/>
        <v>0</v>
      </c>
      <c r="J310" s="76">
        <v>0</v>
      </c>
      <c r="K310" s="76">
        <v>0</v>
      </c>
      <c r="L310" s="76">
        <v>0</v>
      </c>
      <c r="M310" s="77">
        <v>0</v>
      </c>
    </row>
    <row r="311" spans="1:13" ht="45.15" hidden="1" customHeight="1" x14ac:dyDescent="0.3">
      <c r="A311" s="130" t="s">
        <v>442</v>
      </c>
      <c r="B311" s="131"/>
      <c r="C311" s="10" t="s">
        <v>440</v>
      </c>
      <c r="D311" s="58">
        <v>0</v>
      </c>
      <c r="E311" s="57">
        <v>0</v>
      </c>
      <c r="F311" s="57">
        <v>0</v>
      </c>
      <c r="G311" s="57">
        <v>0</v>
      </c>
      <c r="H311" s="58">
        <v>0</v>
      </c>
      <c r="I311" s="57">
        <f t="shared" ref="I311:I312" si="102">J311+K311+L311+M311</f>
        <v>0</v>
      </c>
      <c r="J311" s="57">
        <v>0</v>
      </c>
      <c r="K311" s="57">
        <v>0</v>
      </c>
      <c r="L311" s="57">
        <v>0</v>
      </c>
      <c r="M311" s="57">
        <v>0</v>
      </c>
    </row>
    <row r="312" spans="1:13" ht="45.15" customHeight="1" x14ac:dyDescent="0.3">
      <c r="A312" s="130" t="s">
        <v>436</v>
      </c>
      <c r="B312" s="131"/>
      <c r="C312" s="10" t="s">
        <v>437</v>
      </c>
      <c r="D312" s="58">
        <v>4</v>
      </c>
      <c r="E312" s="57">
        <v>9</v>
      </c>
      <c r="F312" s="57">
        <v>7</v>
      </c>
      <c r="G312" s="57">
        <v>2</v>
      </c>
      <c r="H312" s="57">
        <v>7</v>
      </c>
      <c r="I312" s="57">
        <f t="shared" si="102"/>
        <v>9</v>
      </c>
      <c r="J312" s="57">
        <v>3</v>
      </c>
      <c r="K312" s="57">
        <v>4</v>
      </c>
      <c r="L312" s="57">
        <v>0</v>
      </c>
      <c r="M312" s="59">
        <v>2</v>
      </c>
    </row>
    <row r="313" spans="1:13" ht="160.05000000000001" customHeight="1" x14ac:dyDescent="0.3">
      <c r="A313" s="132" t="s">
        <v>446</v>
      </c>
      <c r="B313" s="133"/>
      <c r="C313" s="10" t="s">
        <v>222</v>
      </c>
      <c r="D313" s="58">
        <v>0</v>
      </c>
      <c r="E313" s="57">
        <v>15</v>
      </c>
      <c r="F313" s="57">
        <v>15</v>
      </c>
      <c r="G313" s="57">
        <v>0</v>
      </c>
      <c r="H313" s="79">
        <v>0</v>
      </c>
      <c r="I313" s="79">
        <v>0</v>
      </c>
      <c r="J313" s="79">
        <v>0</v>
      </c>
      <c r="K313" s="79">
        <v>0</v>
      </c>
      <c r="L313" s="79">
        <v>0</v>
      </c>
      <c r="M313" s="80">
        <v>0</v>
      </c>
    </row>
    <row r="314" spans="1:13" ht="15.6" x14ac:dyDescent="0.3">
      <c r="A314" s="30"/>
      <c r="B314" s="30"/>
      <c r="C314" s="31"/>
      <c r="D314" s="32"/>
      <c r="E314" s="32"/>
      <c r="F314" s="32"/>
      <c r="G314" s="32"/>
      <c r="H314" s="32"/>
      <c r="I314" s="32"/>
      <c r="J314" s="32"/>
      <c r="K314" s="32"/>
      <c r="L314" s="32"/>
      <c r="M314" s="33"/>
    </row>
    <row r="316" spans="1:13" ht="15.6" x14ac:dyDescent="0.3">
      <c r="A316" s="1" t="s">
        <v>398</v>
      </c>
      <c r="B316" s="1"/>
      <c r="C316" s="20" t="s">
        <v>385</v>
      </c>
      <c r="D316" s="1"/>
      <c r="E316" s="95" t="s">
        <v>443</v>
      </c>
      <c r="F316" s="95"/>
      <c r="G316" s="95"/>
      <c r="H316" s="96"/>
      <c r="I316" s="96"/>
    </row>
    <row r="317" spans="1:13" ht="15.6" x14ac:dyDescent="0.3">
      <c r="A317" s="20" t="s">
        <v>386</v>
      </c>
      <c r="B317" s="1"/>
      <c r="C317" s="20" t="s">
        <v>387</v>
      </c>
      <c r="D317" s="1"/>
      <c r="E317" s="1"/>
      <c r="F317" s="1"/>
      <c r="G317" s="1"/>
      <c r="H317" s="20" t="s">
        <v>388</v>
      </c>
      <c r="I317" s="1"/>
    </row>
  </sheetData>
  <mergeCells count="368">
    <mergeCell ref="C113:C114"/>
    <mergeCell ref="D113:D114"/>
    <mergeCell ref="E113:E114"/>
    <mergeCell ref="H113:H114"/>
    <mergeCell ref="I113:I114"/>
    <mergeCell ref="J113:M113"/>
    <mergeCell ref="A152:B153"/>
    <mergeCell ref="C152:C153"/>
    <mergeCell ref="D152:D153"/>
    <mergeCell ref="E152:E153"/>
    <mergeCell ref="H152:H153"/>
    <mergeCell ref="I152:I153"/>
    <mergeCell ref="J152:M152"/>
    <mergeCell ref="A147:B147"/>
    <mergeCell ref="A148:B148"/>
    <mergeCell ref="A149:B149"/>
    <mergeCell ref="A150:B150"/>
    <mergeCell ref="A129:B129"/>
    <mergeCell ref="A130:B130"/>
    <mergeCell ref="A131:B131"/>
    <mergeCell ref="A132:B132"/>
    <mergeCell ref="A133:B133"/>
    <mergeCell ref="A134:B134"/>
    <mergeCell ref="A123:B123"/>
    <mergeCell ref="A37:B38"/>
    <mergeCell ref="C37:C38"/>
    <mergeCell ref="D37:D38"/>
    <mergeCell ref="E37:E38"/>
    <mergeCell ref="H37:H38"/>
    <mergeCell ref="I37:I38"/>
    <mergeCell ref="J37:M37"/>
    <mergeCell ref="A74:B75"/>
    <mergeCell ref="C74:C75"/>
    <mergeCell ref="D74:D75"/>
    <mergeCell ref="E74:E75"/>
    <mergeCell ref="H74:H75"/>
    <mergeCell ref="I74:I75"/>
    <mergeCell ref="J74:M74"/>
    <mergeCell ref="A69:B69"/>
    <mergeCell ref="A70:B70"/>
    <mergeCell ref="A71:B71"/>
    <mergeCell ref="A72:B72"/>
    <mergeCell ref="A51:B51"/>
    <mergeCell ref="A52:B52"/>
    <mergeCell ref="A53:B53"/>
    <mergeCell ref="A54:B54"/>
    <mergeCell ref="A55:B55"/>
    <mergeCell ref="A56:B56"/>
    <mergeCell ref="A279:B279"/>
    <mergeCell ref="A280:B280"/>
    <mergeCell ref="A281:B281"/>
    <mergeCell ref="A282:B282"/>
    <mergeCell ref="A283:B283"/>
    <mergeCell ref="A273:B273"/>
    <mergeCell ref="A274:B274"/>
    <mergeCell ref="A275:B275"/>
    <mergeCell ref="A276:B276"/>
    <mergeCell ref="A277:B277"/>
    <mergeCell ref="A278:B278"/>
    <mergeCell ref="A267:B267"/>
    <mergeCell ref="A268:B268"/>
    <mergeCell ref="A269:B269"/>
    <mergeCell ref="A270:B270"/>
    <mergeCell ref="A271:B271"/>
    <mergeCell ref="A272:B272"/>
    <mergeCell ref="A258:B258"/>
    <mergeCell ref="A259:B259"/>
    <mergeCell ref="A263:M263"/>
    <mergeCell ref="A264:B264"/>
    <mergeCell ref="A265:B265"/>
    <mergeCell ref="A266:B266"/>
    <mergeCell ref="A261:B262"/>
    <mergeCell ref="C261:C262"/>
    <mergeCell ref="D261:D262"/>
    <mergeCell ref="E261:E262"/>
    <mergeCell ref="H261:H262"/>
    <mergeCell ref="I261:I262"/>
    <mergeCell ref="J261:M261"/>
    <mergeCell ref="A252:B252"/>
    <mergeCell ref="A253:B253"/>
    <mergeCell ref="A254:B254"/>
    <mergeCell ref="A255:M255"/>
    <mergeCell ref="A256:B256"/>
    <mergeCell ref="A257:B257"/>
    <mergeCell ref="A246:B246"/>
    <mergeCell ref="A247:B247"/>
    <mergeCell ref="A248:B248"/>
    <mergeCell ref="A249:B249"/>
    <mergeCell ref="A250:B250"/>
    <mergeCell ref="A251:B251"/>
    <mergeCell ref="A242:B242"/>
    <mergeCell ref="A243:B243"/>
    <mergeCell ref="A244:B244"/>
    <mergeCell ref="A245:B245"/>
    <mergeCell ref="A234:B234"/>
    <mergeCell ref="A235:B235"/>
    <mergeCell ref="A236:M236"/>
    <mergeCell ref="A237:B237"/>
    <mergeCell ref="A238:B238"/>
    <mergeCell ref="A239:B239"/>
    <mergeCell ref="A221:B221"/>
    <mergeCell ref="A222:B222"/>
    <mergeCell ref="A223:B223"/>
    <mergeCell ref="A227:B227"/>
    <mergeCell ref="A225:B226"/>
    <mergeCell ref="A240:B240"/>
    <mergeCell ref="A241:B241"/>
    <mergeCell ref="A228:B228"/>
    <mergeCell ref="A229:B229"/>
    <mergeCell ref="A230:B230"/>
    <mergeCell ref="A231:B231"/>
    <mergeCell ref="A232:B232"/>
    <mergeCell ref="A233:B233"/>
    <mergeCell ref="A180:B180"/>
    <mergeCell ref="A181:B181"/>
    <mergeCell ref="A182:B182"/>
    <mergeCell ref="A183:B183"/>
    <mergeCell ref="A184:B184"/>
    <mergeCell ref="A185:B185"/>
    <mergeCell ref="A187:B188"/>
    <mergeCell ref="A201:B201"/>
    <mergeCell ref="A202:B202"/>
    <mergeCell ref="A195:M195"/>
    <mergeCell ref="A196:B196"/>
    <mergeCell ref="A197:B197"/>
    <mergeCell ref="A198:B198"/>
    <mergeCell ref="A199:B199"/>
    <mergeCell ref="A200:B200"/>
    <mergeCell ref="C187:C188"/>
    <mergeCell ref="D187:D188"/>
    <mergeCell ref="E187:E188"/>
    <mergeCell ref="H187:H188"/>
    <mergeCell ref="I187:I188"/>
    <mergeCell ref="J187:M187"/>
    <mergeCell ref="A189:B189"/>
    <mergeCell ref="A190:B190"/>
    <mergeCell ref="A191:B191"/>
    <mergeCell ref="A174:B174"/>
    <mergeCell ref="A175:B175"/>
    <mergeCell ref="A176:B176"/>
    <mergeCell ref="A177:B177"/>
    <mergeCell ref="A178:M178"/>
    <mergeCell ref="A179:B179"/>
    <mergeCell ref="A168:B168"/>
    <mergeCell ref="A169:B169"/>
    <mergeCell ref="A170:B170"/>
    <mergeCell ref="A171:B171"/>
    <mergeCell ref="A172:B172"/>
    <mergeCell ref="A173:B173"/>
    <mergeCell ref="A162:B162"/>
    <mergeCell ref="A163:B163"/>
    <mergeCell ref="A164:B164"/>
    <mergeCell ref="A165:B165"/>
    <mergeCell ref="A166:B166"/>
    <mergeCell ref="A167:B167"/>
    <mergeCell ref="A156:B156"/>
    <mergeCell ref="A157:B157"/>
    <mergeCell ref="A158:B158"/>
    <mergeCell ref="A159:B159"/>
    <mergeCell ref="A160:B160"/>
    <mergeCell ref="A161:B161"/>
    <mergeCell ref="A154:B154"/>
    <mergeCell ref="A155:M155"/>
    <mergeCell ref="A141:B141"/>
    <mergeCell ref="A142:M142"/>
    <mergeCell ref="A143:B143"/>
    <mergeCell ref="A144:B144"/>
    <mergeCell ref="A145:B145"/>
    <mergeCell ref="A146:B146"/>
    <mergeCell ref="A135:B135"/>
    <mergeCell ref="A136:B136"/>
    <mergeCell ref="A137:B137"/>
    <mergeCell ref="A138:B138"/>
    <mergeCell ref="A139:B139"/>
    <mergeCell ref="A140:B140"/>
    <mergeCell ref="A124:B124"/>
    <mergeCell ref="A125:B125"/>
    <mergeCell ref="A126:B126"/>
    <mergeCell ref="A127:B127"/>
    <mergeCell ref="A128:B128"/>
    <mergeCell ref="A117:B117"/>
    <mergeCell ref="A118:B118"/>
    <mergeCell ref="A119:B119"/>
    <mergeCell ref="A120:B120"/>
    <mergeCell ref="A121:B121"/>
    <mergeCell ref="A122:B122"/>
    <mergeCell ref="A108:B108"/>
    <mergeCell ref="A109:B109"/>
    <mergeCell ref="A110:B110"/>
    <mergeCell ref="A111:B111"/>
    <mergeCell ref="A115:B115"/>
    <mergeCell ref="A116:B116"/>
    <mergeCell ref="A102:B102"/>
    <mergeCell ref="A103:B103"/>
    <mergeCell ref="A104:B104"/>
    <mergeCell ref="A105:B105"/>
    <mergeCell ref="A106:B106"/>
    <mergeCell ref="A107:B107"/>
    <mergeCell ref="A113:B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6:B76"/>
    <mergeCell ref="A77:B77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A45:B45"/>
    <mergeCell ref="A46:B46"/>
    <mergeCell ref="A47:B47"/>
    <mergeCell ref="A48:B48"/>
    <mergeCell ref="A49:B49"/>
    <mergeCell ref="A50:B50"/>
    <mergeCell ref="A39:B39"/>
    <mergeCell ref="A40:B40"/>
    <mergeCell ref="A41:B41"/>
    <mergeCell ref="A42:B42"/>
    <mergeCell ref="A43:B43"/>
    <mergeCell ref="A44:B44"/>
    <mergeCell ref="I13:M13"/>
    <mergeCell ref="B14:E14"/>
    <mergeCell ref="B15:E15"/>
    <mergeCell ref="A30:B30"/>
    <mergeCell ref="A31:B31"/>
    <mergeCell ref="A32:B32"/>
    <mergeCell ref="A33:B33"/>
    <mergeCell ref="A34:B34"/>
    <mergeCell ref="A35:B35"/>
    <mergeCell ref="J23:M23"/>
    <mergeCell ref="A25:M25"/>
    <mergeCell ref="A26:B26"/>
    <mergeCell ref="A27:B27"/>
    <mergeCell ref="A28:B28"/>
    <mergeCell ref="A29:B29"/>
    <mergeCell ref="A23:B24"/>
    <mergeCell ref="C23:C24"/>
    <mergeCell ref="D23:D24"/>
    <mergeCell ref="E23:E24"/>
    <mergeCell ref="H23:H24"/>
    <mergeCell ref="I23:I24"/>
    <mergeCell ref="F23:F24"/>
    <mergeCell ref="G23:G24"/>
    <mergeCell ref="A305:B305"/>
    <mergeCell ref="A219:B219"/>
    <mergeCell ref="A220:B220"/>
    <mergeCell ref="H7:M7"/>
    <mergeCell ref="B10:E10"/>
    <mergeCell ref="I10:M10"/>
    <mergeCell ref="B11:E11"/>
    <mergeCell ref="I11:M11"/>
    <mergeCell ref="H1:M1"/>
    <mergeCell ref="H2:M2"/>
    <mergeCell ref="H3:M3"/>
    <mergeCell ref="B4:E4"/>
    <mergeCell ref="H4:M4"/>
    <mergeCell ref="H6:K6"/>
    <mergeCell ref="H8:J8"/>
    <mergeCell ref="B16:E16"/>
    <mergeCell ref="B17:E17"/>
    <mergeCell ref="A19:M19"/>
    <mergeCell ref="A20:M20"/>
    <mergeCell ref="A21:M21"/>
    <mergeCell ref="A22:K22"/>
    <mergeCell ref="B12:E12"/>
    <mergeCell ref="I12:M12"/>
    <mergeCell ref="B13:E13"/>
    <mergeCell ref="A209:B209"/>
    <mergeCell ref="A210:B210"/>
    <mergeCell ref="A211:B211"/>
    <mergeCell ref="A212:B212"/>
    <mergeCell ref="E316:I316"/>
    <mergeCell ref="A307:B307"/>
    <mergeCell ref="A308:B308"/>
    <mergeCell ref="A309:B309"/>
    <mergeCell ref="A306:B306"/>
    <mergeCell ref="A294:B294"/>
    <mergeCell ref="A295:B295"/>
    <mergeCell ref="A297:B297"/>
    <mergeCell ref="A298:B298"/>
    <mergeCell ref="A299:B299"/>
    <mergeCell ref="A300:B300"/>
    <mergeCell ref="A301:B301"/>
    <mergeCell ref="A303:B303"/>
    <mergeCell ref="A304:B304"/>
    <mergeCell ref="A310:B310"/>
    <mergeCell ref="A296:B296"/>
    <mergeCell ref="A302:B302"/>
    <mergeCell ref="A311:B311"/>
    <mergeCell ref="A312:B312"/>
    <mergeCell ref="A313:B313"/>
    <mergeCell ref="H292:H293"/>
    <mergeCell ref="I292:I293"/>
    <mergeCell ref="J292:M292"/>
    <mergeCell ref="A192:B192"/>
    <mergeCell ref="A193:B193"/>
    <mergeCell ref="A194:B194"/>
    <mergeCell ref="A203:B203"/>
    <mergeCell ref="A204:M204"/>
    <mergeCell ref="A205:B205"/>
    <mergeCell ref="C225:C226"/>
    <mergeCell ref="D225:D226"/>
    <mergeCell ref="E225:E226"/>
    <mergeCell ref="H225:H226"/>
    <mergeCell ref="I225:I226"/>
    <mergeCell ref="J225:M225"/>
    <mergeCell ref="A206:B206"/>
    <mergeCell ref="A213:B213"/>
    <mergeCell ref="A214:B214"/>
    <mergeCell ref="A215:B215"/>
    <mergeCell ref="A216:B216"/>
    <mergeCell ref="A217:B217"/>
    <mergeCell ref="A218:M218"/>
    <mergeCell ref="A207:B207"/>
    <mergeCell ref="A208:B208"/>
    <mergeCell ref="F225:F226"/>
    <mergeCell ref="G225:G226"/>
    <mergeCell ref="F261:F262"/>
    <mergeCell ref="G261:G262"/>
    <mergeCell ref="F292:F293"/>
    <mergeCell ref="G292:G293"/>
    <mergeCell ref="F37:F38"/>
    <mergeCell ref="G37:G38"/>
    <mergeCell ref="F74:F75"/>
    <mergeCell ref="G74:G75"/>
    <mergeCell ref="F113:F114"/>
    <mergeCell ref="G113:G114"/>
    <mergeCell ref="F152:F153"/>
    <mergeCell ref="G152:G153"/>
    <mergeCell ref="F187:F188"/>
    <mergeCell ref="G187:G188"/>
    <mergeCell ref="E285:I285"/>
    <mergeCell ref="A289:M289"/>
    <mergeCell ref="A290:M290"/>
    <mergeCell ref="A291:M291"/>
    <mergeCell ref="A292:B293"/>
    <mergeCell ref="C292:C293"/>
    <mergeCell ref="D292:D293"/>
    <mergeCell ref="E292:E293"/>
  </mergeCells>
  <phoneticPr fontId="24" type="noConversion"/>
  <pageMargins left="1.1811023622047245" right="0.39370078740157483" top="0.78740157480314965" bottom="0.78740157480314965" header="0.31496062992125984" footer="0.31496062992125984"/>
  <pageSetup paperSize="9" scale="74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2024-09-04T18:22:28Z</cp:lastPrinted>
  <dcterms:created xsi:type="dcterms:W3CDTF">2020-07-31T08:08:06Z</dcterms:created>
  <dcterms:modified xsi:type="dcterms:W3CDTF">2024-09-04T18:26:23Z</dcterms:modified>
</cp:coreProperties>
</file>